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harts/chart10.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7.xml" ContentType="application/vnd.openxmlformats-officedocument.drawing+xml"/>
  <Override PartName="/xl/drawings/drawing38.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9.xml" ContentType="application/vnd.openxmlformats-officedocument.drawing+xml"/>
  <Override PartName="/xl/drawings/drawing40.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7.xml" ContentType="application/vnd.openxmlformats-officedocument.drawing+xml"/>
  <Override PartName="/xl/drawings/drawing48.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5.xml" ContentType="application/vnd.openxmlformats-officedocument.drawing+xml"/>
  <Override PartName="/xl/drawings/drawing56.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7.xml" ContentType="application/vnd.openxmlformats-officedocument.drawing+xml"/>
  <Override PartName="/xl/drawings/drawing58.xml" ContentType="application/vnd.openxmlformats-officedocument.drawing+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https://d.docs.live.net/6717883ec5c5089d/0_fit-in-rechnungswesen/"/>
    </mc:Choice>
  </mc:AlternateContent>
  <xr:revisionPtr revIDLastSave="0" documentId="8_{24075D40-AE22-4D4A-A264-9D40B0390D63}" xr6:coauthVersionLast="47" xr6:coauthVersionMax="47" xr10:uidLastSave="{00000000-0000-0000-0000-000000000000}"/>
  <bookViews>
    <workbookView xWindow="-120" yWindow="-120" windowWidth="29040" windowHeight="15840" tabRatio="871" xr2:uid="{00000000-000D-0000-FFFF-FFFF00000000}"/>
  </bookViews>
  <sheets>
    <sheet name="Übersicht" sheetId="37" r:id="rId1"/>
    <sheet name="Bitte lesen" sheetId="91" r:id="rId2"/>
    <sheet name="SUM,MAX,MIN,%" sheetId="86" r:id="rId3"/>
    <sheet name="WENN" sheetId="87" r:id="rId4"/>
    <sheet name="SVERWEIS" sheetId="88" r:id="rId5"/>
    <sheet name="UND_ODER" sheetId="89" r:id="rId6"/>
    <sheet name="Rang" sheetId="90" r:id="rId7"/>
    <sheet name="Aufgabe 1" sheetId="1" r:id="rId8"/>
    <sheet name="Aufgabe 1_Lsg" sheetId="2" r:id="rId9"/>
    <sheet name="Aufgabe 2" sheetId="3" r:id="rId10"/>
    <sheet name="Aufgabe 2_Lsg" sheetId="4" r:id="rId11"/>
    <sheet name="Aufgabe 3" sheetId="5" r:id="rId12"/>
    <sheet name="Aufgabe 3_Lsg" sheetId="19" r:id="rId13"/>
    <sheet name="Aufgabe 4" sheetId="8" r:id="rId14"/>
    <sheet name="Aufgabe 4_Lsg" sheetId="40" r:id="rId15"/>
    <sheet name="Aufgabe 5" sheetId="6" r:id="rId16"/>
    <sheet name="Aufgabe 5_Lsg" sheetId="38" r:id="rId17"/>
    <sheet name="Aufgabe 6" sheetId="7" r:id="rId18"/>
    <sheet name="Aufgabe 6_Lsg" sheetId="39" r:id="rId19"/>
    <sheet name="Aufgabe 7" sheetId="10" r:id="rId20"/>
    <sheet name="Aufgabe 7_Lsg" sheetId="41" r:id="rId21"/>
    <sheet name="Aufgabe  8" sheetId="11" r:id="rId22"/>
    <sheet name="Aufgabe  8_Lsg" sheetId="67" r:id="rId23"/>
    <sheet name="Aufgabe 9" sheetId="12" r:id="rId24"/>
    <sheet name="Aufgabe 9_Lsg" sheetId="68" r:id="rId25"/>
    <sheet name="Aufgabe 10" sheetId="13" r:id="rId26"/>
    <sheet name="Aufgabe 10_Lsg" sheetId="44" r:id="rId27"/>
    <sheet name="Aufgabe 11" sheetId="9" r:id="rId28"/>
    <sheet name="Aufgabe 11_Lsg" sheetId="69" r:id="rId29"/>
    <sheet name="Aufgabe 12" sheetId="14" r:id="rId30"/>
    <sheet name="Aufgabe 12_Lsg" sheetId="70" r:id="rId31"/>
    <sheet name="Aufgabe 13" sheetId="20" r:id="rId32"/>
    <sheet name="Aufgabe 13_Lsg" sheetId="46" r:id="rId33"/>
    <sheet name="Aufgabe 14" sheetId="21" r:id="rId34"/>
    <sheet name="Aufgabe 14_Lsg" sheetId="48" r:id="rId35"/>
    <sheet name="Aufgabe 15" sheetId="22" r:id="rId36"/>
    <sheet name="Aufgabe 15_Lsg" sheetId="49" r:id="rId37"/>
    <sheet name="Aufgabe 16" sheetId="23" r:id="rId38"/>
    <sheet name="Aufgabe 16_Lsg" sheetId="50" r:id="rId39"/>
    <sheet name="Aufgabe 17" sheetId="72" r:id="rId40"/>
    <sheet name="Aufgabe 17_Lsg" sheetId="71" r:id="rId41"/>
    <sheet name="Aufgabe 18" sheetId="73" r:id="rId42"/>
    <sheet name="Aufgabe 18_Lsg" sheetId="74" r:id="rId43"/>
    <sheet name="Aufgabe 19" sheetId="26" r:id="rId44"/>
    <sheet name="Aufgabe 19_Lsg" sheetId="75" r:id="rId45"/>
    <sheet name="Aufgabe 20" sheetId="27" r:id="rId46"/>
    <sheet name="Aufgabe 20_Lsg" sheetId="76" r:id="rId47"/>
    <sheet name="Aufgabe 21" sheetId="15" r:id="rId48"/>
    <sheet name="Aufgabe 21_Lsg" sheetId="77" r:id="rId49"/>
    <sheet name="Aufgabe 22" sheetId="28" r:id="rId50"/>
    <sheet name="Aufgabe 22_Lsg" sheetId="78" r:id="rId51"/>
    <sheet name="Aufgabe 23" sheetId="29" r:id="rId52"/>
    <sheet name="Aufgabe 23_Lsg" sheetId="60" r:id="rId53"/>
    <sheet name="Aufgabe 24" sheetId="31" r:id="rId54"/>
    <sheet name="Aufgabe 24_Lsg" sheetId="59" r:id="rId55"/>
    <sheet name="Aufgabe 25" sheetId="80" r:id="rId56"/>
    <sheet name="Aufgabe 25_Lsg" sheetId="79" r:id="rId57"/>
    <sheet name="Aufgabe 26" sheetId="81" r:id="rId58"/>
    <sheet name="Aufgabe 26_Lsg" sheetId="82" r:id="rId59"/>
    <sheet name="Aufgabe 27" sheetId="34" r:id="rId60"/>
    <sheet name="Aufgabe 27_Lsg" sheetId="83" r:id="rId61"/>
    <sheet name="Aufgabe 28" sheetId="85" r:id="rId62"/>
    <sheet name="Aufgabe 28_Lsg" sheetId="84" r:id="rId63"/>
  </sheets>
  <definedNames>
    <definedName name="_xlnm._FilterDatabase" localSheetId="11" hidden="1">'Aufgabe 3'!$A$6:$B$25</definedName>
    <definedName name="_xlnm._FilterDatabase" localSheetId="12" hidden="1">'Aufgabe 3_Lsg'!$A$6:$B$25</definedName>
    <definedName name="_xlnm._FilterDatabase" localSheetId="23" hidden="1">'Aufgabe 9'!$A$5:$I$42</definedName>
    <definedName name="_xlnm._FilterDatabase" localSheetId="24" hidden="1">'Aufgabe 9_Lsg'!$A$5:$I$42</definedName>
    <definedName name="_xlnm.Print_Area" localSheetId="8">'Aufgabe 1_Lsg'!$A$1:$E$31</definedName>
    <definedName name="_xlnm.Print_Area" localSheetId="28">'Aufgabe 11_Lsg'!$A$1:$N$18</definedName>
    <definedName name="_xlnm.Print_Area" localSheetId="29">'Aufgabe 12'!$A$1:$L$49</definedName>
    <definedName name="_xlnm.Print_Area" localSheetId="30">'Aufgabe 12_Lsg'!$A$1:$D$50</definedName>
    <definedName name="_xlnm.Print_Area" localSheetId="38">'Aufgabe 16_Lsg'!$A$1:$F$45</definedName>
    <definedName name="_xlnm.Print_Area" localSheetId="39">'Aufgabe 17'!$A$1:$I$43</definedName>
    <definedName name="_xlnm.Print_Area" localSheetId="40">'Aufgabe 17_Lsg'!$A$1:$I$43</definedName>
    <definedName name="_xlnm.Print_Area" localSheetId="57">'Aufgabe 26'!$A$1:$G$50</definedName>
    <definedName name="_xlnm.Print_Area" localSheetId="13">'Aufgabe 4'!$A$1:$N$36</definedName>
    <definedName name="_xlnm.Print_Area" localSheetId="14">'Aufgabe 4_Lsg'!$A$1:$E$36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7" l="1"/>
  <c r="G9" i="37"/>
  <c r="G10" i="37"/>
  <c r="G12" i="37"/>
  <c r="G13" i="37"/>
  <c r="G15" i="37"/>
  <c r="G16" i="37"/>
  <c r="G18" i="37"/>
  <c r="G19" i="37"/>
  <c r="G21" i="37"/>
  <c r="G22" i="37"/>
  <c r="G24" i="37"/>
  <c r="G25" i="37"/>
  <c r="G27" i="37"/>
  <c r="G28" i="37"/>
  <c r="G30" i="37"/>
  <c r="G31" i="37"/>
  <c r="G33" i="37"/>
  <c r="G34" i="37"/>
  <c r="G36" i="37"/>
  <c r="G37" i="37"/>
  <c r="G39" i="37"/>
  <c r="G40" i="37"/>
  <c r="G42" i="37"/>
  <c r="G43" i="37"/>
  <c r="G45" i="37"/>
  <c r="G46" i="37"/>
  <c r="G6" i="37"/>
  <c r="E10" i="37"/>
  <c r="E12" i="37"/>
  <c r="E13" i="37"/>
  <c r="E15" i="37"/>
  <c r="E16" i="37"/>
  <c r="E18" i="37"/>
  <c r="E19" i="37"/>
  <c r="E21" i="37"/>
  <c r="E22" i="37"/>
  <c r="E24" i="37"/>
  <c r="E25" i="37"/>
  <c r="E27" i="37"/>
  <c r="E28" i="37"/>
  <c r="E30" i="37"/>
  <c r="E31" i="37"/>
  <c r="E33" i="37"/>
  <c r="E34" i="37"/>
  <c r="E36" i="37"/>
  <c r="E37" i="37"/>
  <c r="E39" i="37"/>
  <c r="E40" i="37"/>
  <c r="E42" i="37"/>
  <c r="E43" i="37"/>
  <c r="E45" i="37"/>
  <c r="E46" i="37"/>
  <c r="E48" i="37"/>
  <c r="E49" i="37"/>
  <c r="E9" i="37"/>
  <c r="I8" i="37" l="1"/>
  <c r="H6" i="83" l="1"/>
  <c r="D16" i="85" l="1"/>
  <c r="L36" i="87"/>
  <c r="M36" i="87" s="1"/>
  <c r="O24" i="90" l="1"/>
  <c r="O25" i="90"/>
  <c r="O26" i="90"/>
  <c r="O27" i="90"/>
  <c r="O28" i="90"/>
  <c r="O23" i="90"/>
  <c r="M24" i="90"/>
  <c r="M25" i="90"/>
  <c r="M26" i="90"/>
  <c r="M27" i="90"/>
  <c r="M28" i="90"/>
  <c r="M23" i="90"/>
  <c r="K9" i="86" l="1"/>
  <c r="C38" i="88" l="1"/>
  <c r="C39" i="88"/>
  <c r="C40" i="88"/>
  <c r="N59" i="87"/>
  <c r="E31" i="89" l="1"/>
  <c r="L88" i="87"/>
  <c r="L87" i="87"/>
  <c r="L85" i="87"/>
  <c r="L86" i="87"/>
  <c r="N25" i="90" l="1"/>
  <c r="N28" i="90"/>
  <c r="P28" i="90"/>
  <c r="P27" i="90"/>
  <c r="N27" i="90"/>
  <c r="P26" i="90"/>
  <c r="N26" i="90"/>
  <c r="P25" i="90"/>
  <c r="P24" i="90"/>
  <c r="N24" i="90"/>
  <c r="P23" i="90"/>
  <c r="N23" i="90"/>
  <c r="M20" i="89"/>
  <c r="L83" i="89"/>
  <c r="L82" i="89"/>
  <c r="L81" i="89"/>
  <c r="L80" i="89"/>
  <c r="L79" i="89"/>
  <c r="L78" i="89"/>
  <c r="L71" i="89"/>
  <c r="M83" i="89" s="1"/>
  <c r="L70" i="89"/>
  <c r="M82" i="89" s="1"/>
  <c r="L69" i="89"/>
  <c r="M81" i="89" s="1"/>
  <c r="L68" i="89"/>
  <c r="M80" i="89" s="1"/>
  <c r="L67" i="89"/>
  <c r="M79" i="89" s="1"/>
  <c r="L66" i="89"/>
  <c r="M78" i="89" s="1"/>
  <c r="M21" i="89"/>
  <c r="M22" i="89"/>
  <c r="M23" i="89"/>
  <c r="M24" i="89"/>
  <c r="M25" i="89"/>
  <c r="N31" i="89"/>
  <c r="M32" i="89"/>
  <c r="M33" i="89"/>
  <c r="M34" i="89"/>
  <c r="M35" i="89"/>
  <c r="M36" i="89"/>
  <c r="M31" i="89"/>
  <c r="N32" i="89"/>
  <c r="N33" i="89"/>
  <c r="N34" i="89"/>
  <c r="N35" i="89"/>
  <c r="N36" i="89"/>
  <c r="E32" i="89"/>
  <c r="E33" i="89"/>
  <c r="E34" i="89"/>
  <c r="E35" i="89"/>
  <c r="E36" i="89"/>
  <c r="E21" i="89"/>
  <c r="F32" i="89" s="1"/>
  <c r="E22" i="89"/>
  <c r="F33" i="89" s="1"/>
  <c r="E23" i="89"/>
  <c r="F34" i="89" s="1"/>
  <c r="E24" i="89"/>
  <c r="F35" i="89" s="1"/>
  <c r="E25" i="89"/>
  <c r="F36" i="89" s="1"/>
  <c r="E20" i="89"/>
  <c r="F31" i="89" s="1"/>
  <c r="O95" i="88"/>
  <c r="P95" i="88" s="1"/>
  <c r="O94" i="88"/>
  <c r="P94" i="88" s="1"/>
  <c r="O85" i="88"/>
  <c r="P85" i="88" s="1"/>
  <c r="O86" i="88"/>
  <c r="P86" i="88" s="1"/>
  <c r="O87" i="88"/>
  <c r="P87" i="88" s="1"/>
  <c r="O88" i="88"/>
  <c r="P88" i="88" s="1"/>
  <c r="O89" i="88"/>
  <c r="P89" i="88" s="1"/>
  <c r="O90" i="88"/>
  <c r="P90" i="88" s="1"/>
  <c r="Q85" i="88"/>
  <c r="Q86" i="88"/>
  <c r="Q87" i="88"/>
  <c r="Q88" i="88"/>
  <c r="Q89" i="88"/>
  <c r="Q90" i="88"/>
  <c r="Q84" i="88"/>
  <c r="O84" i="88"/>
  <c r="P84" i="88" s="1"/>
  <c r="Q68" i="88"/>
  <c r="R68" i="88" s="1"/>
  <c r="Q69" i="88"/>
  <c r="R69" i="88" s="1"/>
  <c r="Q70" i="88"/>
  <c r="R70" i="88" s="1"/>
  <c r="Q67" i="88"/>
  <c r="R67" i="88" s="1"/>
  <c r="O68" i="88"/>
  <c r="O69" i="88"/>
  <c r="O70" i="88"/>
  <c r="O67" i="88"/>
  <c r="P54" i="88"/>
  <c r="O54" i="88"/>
  <c r="P53" i="88"/>
  <c r="O53" i="88"/>
  <c r="P52" i="88"/>
  <c r="O52" i="88"/>
  <c r="K118" i="87"/>
  <c r="K117" i="87"/>
  <c r="K100" i="87"/>
  <c r="M94" i="87"/>
  <c r="L92" i="87"/>
  <c r="L91" i="87"/>
  <c r="M95" i="87" s="1"/>
  <c r="L90" i="87"/>
  <c r="L89" i="87"/>
  <c r="L84" i="87"/>
  <c r="L83" i="87"/>
  <c r="L82" i="87"/>
  <c r="L37" i="87"/>
  <c r="M37" i="87" s="1"/>
  <c r="L38" i="87"/>
  <c r="M38" i="87" s="1"/>
  <c r="L39" i="87"/>
  <c r="M39" i="87" s="1"/>
  <c r="K32" i="87"/>
  <c r="R71" i="88" l="1"/>
  <c r="L100" i="87"/>
  <c r="D87" i="87" l="1"/>
  <c r="D90" i="87"/>
  <c r="D84" i="87"/>
  <c r="D85" i="87"/>
  <c r="D91" i="87"/>
  <c r="D92" i="87"/>
  <c r="D89" i="87"/>
  <c r="D88" i="87"/>
  <c r="D86" i="87"/>
  <c r="D83" i="87"/>
  <c r="D82" i="87"/>
  <c r="C32" i="87"/>
  <c r="O13" i="87"/>
  <c r="O14" i="87"/>
  <c r="O15" i="87"/>
  <c r="O16" i="87"/>
  <c r="O17" i="87"/>
  <c r="O12" i="87"/>
  <c r="M13" i="87"/>
  <c r="N13" i="87"/>
  <c r="M14" i="87"/>
  <c r="N14" i="87"/>
  <c r="M15" i="87"/>
  <c r="N15" i="87"/>
  <c r="M16" i="87"/>
  <c r="N16" i="87"/>
  <c r="M17" i="87"/>
  <c r="N17" i="87"/>
  <c r="N12" i="87"/>
  <c r="M12" i="87"/>
  <c r="N70" i="87" l="1"/>
  <c r="N69" i="87"/>
  <c r="N61" i="87" l="1"/>
  <c r="N60" i="87"/>
  <c r="L23" i="86" l="1"/>
  <c r="L22" i="86"/>
  <c r="L21" i="86"/>
  <c r="L20" i="86"/>
  <c r="N8" i="86"/>
  <c r="M9" i="86"/>
  <c r="M10" i="86"/>
  <c r="M11" i="86"/>
  <c r="M12" i="86"/>
  <c r="M13" i="86"/>
  <c r="M14" i="86"/>
  <c r="M15" i="86"/>
  <c r="M16" i="86"/>
  <c r="M17" i="86"/>
  <c r="M18" i="86"/>
  <c r="M19" i="86"/>
  <c r="K5" i="86"/>
  <c r="L5" i="86" s="1"/>
  <c r="L7" i="86" s="1"/>
  <c r="J7" i="86" s="1"/>
  <c r="D5" i="86"/>
  <c r="E5" i="86" s="1"/>
  <c r="E7" i="86" s="1"/>
  <c r="C7" i="86" s="1"/>
  <c r="B16" i="85" l="1"/>
  <c r="D16" i="84"/>
  <c r="B16" i="84"/>
  <c r="C16" i="84" s="1"/>
  <c r="E15" i="84"/>
  <c r="F15" i="84" s="1"/>
  <c r="G15" i="84" s="1"/>
  <c r="E14" i="84"/>
  <c r="F14" i="84" s="1"/>
  <c r="G14" i="84" s="1"/>
  <c r="E13" i="84"/>
  <c r="F13" i="84" s="1"/>
  <c r="G13" i="84" s="1"/>
  <c r="E12" i="84"/>
  <c r="F12" i="84" s="1"/>
  <c r="G12" i="84" s="1"/>
  <c r="C12" i="84"/>
  <c r="E11" i="84"/>
  <c r="F11" i="84" s="1"/>
  <c r="G11" i="84" s="1"/>
  <c r="E10" i="84"/>
  <c r="F10" i="84" s="1"/>
  <c r="G10" i="84" s="1"/>
  <c r="C10" i="84"/>
  <c r="E9" i="84"/>
  <c r="F9" i="84" s="1"/>
  <c r="G9" i="84" s="1"/>
  <c r="E8" i="84"/>
  <c r="F8" i="84" s="1"/>
  <c r="G8" i="84" s="1"/>
  <c r="E7" i="84"/>
  <c r="F7" i="84" s="1"/>
  <c r="G7" i="84" s="1"/>
  <c r="G2" i="83"/>
  <c r="H2" i="83" s="1"/>
  <c r="E6" i="83" s="1"/>
  <c r="B56" i="82"/>
  <c r="B54" i="82"/>
  <c r="E22" i="82"/>
  <c r="B22" i="82"/>
  <c r="E21" i="82"/>
  <c r="B21" i="82"/>
  <c r="E20" i="82"/>
  <c r="B20" i="82"/>
  <c r="E19" i="82"/>
  <c r="B19" i="82"/>
  <c r="E18" i="82"/>
  <c r="B18" i="82"/>
  <c r="E17" i="82"/>
  <c r="B17" i="82"/>
  <c r="E16" i="82"/>
  <c r="B16" i="82"/>
  <c r="E15" i="82"/>
  <c r="B15" i="82"/>
  <c r="E14" i="82"/>
  <c r="B14" i="82"/>
  <c r="E13" i="82"/>
  <c r="B13" i="82"/>
  <c r="E12" i="82"/>
  <c r="B12" i="82"/>
  <c r="F6" i="82"/>
  <c r="F5" i="82"/>
  <c r="F6" i="81"/>
  <c r="F5" i="81"/>
  <c r="B18" i="79"/>
  <c r="C17" i="79"/>
  <c r="D17" i="79" s="1"/>
  <c r="C16" i="79"/>
  <c r="D16" i="79" s="1"/>
  <c r="C15" i="79"/>
  <c r="D15" i="79" s="1"/>
  <c r="C14" i="79"/>
  <c r="D14" i="79" s="1"/>
  <c r="C13" i="79"/>
  <c r="D13" i="79" s="1"/>
  <c r="C12" i="79"/>
  <c r="D12" i="79" s="1"/>
  <c r="C11" i="79"/>
  <c r="D11" i="79" s="1"/>
  <c r="C10" i="79"/>
  <c r="D10" i="79" s="1"/>
  <c r="C9" i="79"/>
  <c r="D9" i="79" s="1"/>
  <c r="C8" i="79"/>
  <c r="D8" i="79" s="1"/>
  <c r="C7" i="79"/>
  <c r="D7" i="79" s="1"/>
  <c r="C6" i="79"/>
  <c r="D6" i="79" s="1"/>
  <c r="E29" i="78"/>
  <c r="B29" i="78"/>
  <c r="C29" i="78" s="1"/>
  <c r="D29" i="78" s="1"/>
  <c r="F29" i="78" s="1"/>
  <c r="E28" i="78"/>
  <c r="B28" i="78"/>
  <c r="C28" i="78" s="1"/>
  <c r="D28" i="78" s="1"/>
  <c r="E27" i="78"/>
  <c r="B27" i="78"/>
  <c r="C27" i="78" s="1"/>
  <c r="D27" i="78" s="1"/>
  <c r="F27" i="78" s="1"/>
  <c r="E26" i="78"/>
  <c r="B26" i="78"/>
  <c r="C26" i="78" s="1"/>
  <c r="D26" i="78" s="1"/>
  <c r="E25" i="78"/>
  <c r="B25" i="78"/>
  <c r="C25" i="78" s="1"/>
  <c r="D25" i="78" s="1"/>
  <c r="F25" i="78" s="1"/>
  <c r="E24" i="78"/>
  <c r="B24" i="78"/>
  <c r="C24" i="78" s="1"/>
  <c r="D24" i="78" s="1"/>
  <c r="E23" i="78"/>
  <c r="B23" i="78"/>
  <c r="C23" i="78" s="1"/>
  <c r="D23" i="78" s="1"/>
  <c r="E22" i="78"/>
  <c r="B22" i="78"/>
  <c r="C22" i="78" s="1"/>
  <c r="D22" i="78" s="1"/>
  <c r="E21" i="78"/>
  <c r="B21" i="78"/>
  <c r="C21" i="78" s="1"/>
  <c r="D21" i="78" s="1"/>
  <c r="F21" i="78" s="1"/>
  <c r="E20" i="78"/>
  <c r="B20" i="78"/>
  <c r="C20" i="78" s="1"/>
  <c r="D20" i="78" s="1"/>
  <c r="E19" i="78"/>
  <c r="B19" i="78"/>
  <c r="C19" i="78" s="1"/>
  <c r="D19" i="78" s="1"/>
  <c r="F19" i="78" s="1"/>
  <c r="E18" i="78"/>
  <c r="B18" i="78"/>
  <c r="C18" i="78" s="1"/>
  <c r="D18" i="78" s="1"/>
  <c r="E17" i="78"/>
  <c r="B17" i="78"/>
  <c r="C17" i="78" s="1"/>
  <c r="D17" i="78" s="1"/>
  <c r="F17" i="78" s="1"/>
  <c r="E16" i="78"/>
  <c r="B16" i="78"/>
  <c r="C16" i="78" s="1"/>
  <c r="D16" i="78" s="1"/>
  <c r="E15" i="78"/>
  <c r="B15" i="78"/>
  <c r="C15" i="78" s="1"/>
  <c r="D15" i="78" s="1"/>
  <c r="E11" i="78"/>
  <c r="E10" i="78"/>
  <c r="E9" i="78"/>
  <c r="E11" i="28"/>
  <c r="E10" i="28"/>
  <c r="E9" i="28"/>
  <c r="B16" i="28"/>
  <c r="B17" i="28"/>
  <c r="B18" i="28"/>
  <c r="B19" i="28"/>
  <c r="B20" i="28"/>
  <c r="B21" i="28"/>
  <c r="B22" i="28"/>
  <c r="B23" i="28"/>
  <c r="B24" i="28"/>
  <c r="B25" i="28"/>
  <c r="B26" i="28"/>
  <c r="B27" i="28"/>
  <c r="B28" i="28"/>
  <c r="B29" i="28"/>
  <c r="B15" i="28"/>
  <c r="D11" i="77"/>
  <c r="D7" i="77"/>
  <c r="D8" i="77" s="1"/>
  <c r="D22" i="76"/>
  <c r="E22" i="76" s="1"/>
  <c r="B22" i="76"/>
  <c r="C22" i="76" s="1"/>
  <c r="D21" i="76"/>
  <c r="E21" i="76" s="1"/>
  <c r="B21" i="76"/>
  <c r="C21" i="76" s="1"/>
  <c r="D20" i="76"/>
  <c r="E20" i="76" s="1"/>
  <c r="B20" i="76"/>
  <c r="C20" i="76" s="1"/>
  <c r="D19" i="76"/>
  <c r="E19" i="76" s="1"/>
  <c r="B19" i="76"/>
  <c r="C19" i="76" s="1"/>
  <c r="D18" i="76"/>
  <c r="E18" i="76" s="1"/>
  <c r="B18" i="76"/>
  <c r="C18" i="76" s="1"/>
  <c r="D17" i="76"/>
  <c r="E17" i="76" s="1"/>
  <c r="B17" i="76"/>
  <c r="C17" i="76" s="1"/>
  <c r="D16" i="76"/>
  <c r="E16" i="76" s="1"/>
  <c r="B16" i="76"/>
  <c r="C16" i="76" s="1"/>
  <c r="D15" i="76"/>
  <c r="E15" i="76" s="1"/>
  <c r="B15" i="76"/>
  <c r="C15" i="76" s="1"/>
  <c r="D14" i="76"/>
  <c r="E14" i="76" s="1"/>
  <c r="B14" i="76"/>
  <c r="C14" i="76" s="1"/>
  <c r="D13" i="76"/>
  <c r="E13" i="76" s="1"/>
  <c r="B13" i="76"/>
  <c r="C13" i="76" s="1"/>
  <c r="F16" i="75"/>
  <c r="E16" i="75"/>
  <c r="F15" i="75"/>
  <c r="E15" i="75"/>
  <c r="F14" i="75"/>
  <c r="E14" i="75"/>
  <c r="F13" i="75"/>
  <c r="E13" i="75"/>
  <c r="F12" i="75"/>
  <c r="E12" i="75"/>
  <c r="F11" i="75"/>
  <c r="E11" i="75"/>
  <c r="F10" i="75"/>
  <c r="E10" i="75"/>
  <c r="F9" i="75"/>
  <c r="E9" i="75"/>
  <c r="F8" i="75"/>
  <c r="E8" i="75"/>
  <c r="F7" i="75"/>
  <c r="E7" i="75"/>
  <c r="K6" i="74"/>
  <c r="K7" i="74"/>
  <c r="K15" i="74" s="1"/>
  <c r="K23" i="74" s="1"/>
  <c r="K31" i="74" s="1"/>
  <c r="K39" i="74" s="1"/>
  <c r="K8" i="74"/>
  <c r="K16" i="74" s="1"/>
  <c r="K24" i="74" s="1"/>
  <c r="K32" i="74" s="1"/>
  <c r="K40" i="74" s="1"/>
  <c r="B9" i="74"/>
  <c r="B11" i="74" s="1"/>
  <c r="C9" i="74"/>
  <c r="C11" i="74" s="1"/>
  <c r="C13" i="74" s="1"/>
  <c r="C15" i="74" s="1"/>
  <c r="C20" i="74" s="1"/>
  <c r="C22" i="74" s="1"/>
  <c r="D9" i="74"/>
  <c r="D11" i="74" s="1"/>
  <c r="E9" i="74"/>
  <c r="E11" i="74" s="1"/>
  <c r="E13" i="74" s="1"/>
  <c r="E15" i="74" s="1"/>
  <c r="E20" i="74" s="1"/>
  <c r="E22" i="74" s="1"/>
  <c r="F9" i="74"/>
  <c r="F11" i="74" s="1"/>
  <c r="K9" i="74"/>
  <c r="K17" i="74" s="1"/>
  <c r="K25" i="74" s="1"/>
  <c r="K33" i="74" s="1"/>
  <c r="K41" i="74" s="1"/>
  <c r="K10" i="74"/>
  <c r="K18" i="74" s="1"/>
  <c r="K26" i="74" s="1"/>
  <c r="K34" i="74" s="1"/>
  <c r="K42" i="74" s="1"/>
  <c r="K11" i="74"/>
  <c r="K19" i="74" s="1"/>
  <c r="K27" i="74" s="1"/>
  <c r="K35" i="74" s="1"/>
  <c r="K43" i="74" s="1"/>
  <c r="K14" i="74"/>
  <c r="K22" i="74" s="1"/>
  <c r="K30" i="74" s="1"/>
  <c r="K38" i="74" s="1"/>
  <c r="B27" i="74"/>
  <c r="B28" i="74"/>
  <c r="B29" i="74"/>
  <c r="B30" i="74"/>
  <c r="B31" i="74"/>
  <c r="K6" i="73"/>
  <c r="K14" i="73" s="1"/>
  <c r="K22" i="73" s="1"/>
  <c r="K30" i="73" s="1"/>
  <c r="K38" i="73" s="1"/>
  <c r="K7" i="73"/>
  <c r="K15" i="73" s="1"/>
  <c r="K23" i="73" s="1"/>
  <c r="K31" i="73" s="1"/>
  <c r="K39" i="73" s="1"/>
  <c r="K8" i="73"/>
  <c r="K16" i="73" s="1"/>
  <c r="K24" i="73" s="1"/>
  <c r="K32" i="73" s="1"/>
  <c r="K40" i="73" s="1"/>
  <c r="K9" i="73"/>
  <c r="K10" i="73"/>
  <c r="K11" i="73"/>
  <c r="K19" i="73" s="1"/>
  <c r="K27" i="73" s="1"/>
  <c r="K35" i="73" s="1"/>
  <c r="K43" i="73" s="1"/>
  <c r="K17" i="73"/>
  <c r="K25" i="73" s="1"/>
  <c r="K33" i="73" s="1"/>
  <c r="K41" i="73" s="1"/>
  <c r="K18" i="73"/>
  <c r="K26" i="73" s="1"/>
  <c r="K34" i="73" s="1"/>
  <c r="K42" i="73" s="1"/>
  <c r="B27" i="73"/>
  <c r="B28" i="73"/>
  <c r="B29" i="73"/>
  <c r="B30" i="73"/>
  <c r="B31" i="73"/>
  <c r="F6" i="71"/>
  <c r="G6" i="71"/>
  <c r="H6" i="71"/>
  <c r="I6" i="71"/>
  <c r="F7" i="71"/>
  <c r="G7" i="71"/>
  <c r="H7" i="71"/>
  <c r="I7" i="71"/>
  <c r="F8" i="71"/>
  <c r="G8" i="71"/>
  <c r="H8" i="71"/>
  <c r="I8" i="71"/>
  <c r="F9" i="71"/>
  <c r="G9" i="71"/>
  <c r="H9" i="71"/>
  <c r="I9" i="71"/>
  <c r="F10" i="71"/>
  <c r="G10" i="71"/>
  <c r="H10" i="71"/>
  <c r="I10" i="71"/>
  <c r="B11" i="71"/>
  <c r="C11" i="71"/>
  <c r="D11" i="71"/>
  <c r="E11" i="71"/>
  <c r="E12" i="71" l="1"/>
  <c r="E18" i="75"/>
  <c r="C8" i="84"/>
  <c r="C12" i="71"/>
  <c r="B13" i="71"/>
  <c r="C30" i="78"/>
  <c r="F18" i="78"/>
  <c r="F20" i="78"/>
  <c r="F26" i="78"/>
  <c r="F28" i="78"/>
  <c r="C14" i="84"/>
  <c r="D12" i="71"/>
  <c r="C13" i="71"/>
  <c r="F15" i="78"/>
  <c r="F22" i="78"/>
  <c r="F24" i="78"/>
  <c r="F8" i="82"/>
  <c r="C14" i="82" s="1"/>
  <c r="D14" i="82" s="1"/>
  <c r="F14" i="82" s="1"/>
  <c r="E16" i="84"/>
  <c r="F16" i="84" s="1"/>
  <c r="G16" i="84" s="1"/>
  <c r="F16" i="78"/>
  <c r="F23" i="78"/>
  <c r="C7" i="84"/>
  <c r="C9" i="84"/>
  <c r="C11" i="84"/>
  <c r="C13" i="84"/>
  <c r="C15" i="84"/>
  <c r="N9" i="86"/>
  <c r="E7" i="83"/>
  <c r="D6" i="83"/>
  <c r="C22" i="82"/>
  <c r="D22" i="82" s="1"/>
  <c r="F22" i="82" s="1"/>
  <c r="C13" i="82"/>
  <c r="D13" i="82" s="1"/>
  <c r="F13" i="82" s="1"/>
  <c r="D18" i="79"/>
  <c r="C31" i="78"/>
  <c r="D9" i="77"/>
  <c r="D10" i="77" s="1"/>
  <c r="D12" i="77" s="1"/>
  <c r="F18" i="75"/>
  <c r="G10" i="75" s="1"/>
  <c r="D13" i="74"/>
  <c r="D15" i="74" s="1"/>
  <c r="D20" i="74" s="1"/>
  <c r="D22" i="74" s="1"/>
  <c r="F13" i="74"/>
  <c r="F15" i="74" s="1"/>
  <c r="F20" i="74" s="1"/>
  <c r="F22" i="74" s="1"/>
  <c r="B13" i="74"/>
  <c r="B15" i="74" s="1"/>
  <c r="B20" i="74" s="1"/>
  <c r="B22" i="74" s="1"/>
  <c r="E13" i="71"/>
  <c r="D13" i="71"/>
  <c r="C11" i="46"/>
  <c r="D11" i="46"/>
  <c r="E11" i="46"/>
  <c r="F11" i="46"/>
  <c r="G11" i="46"/>
  <c r="I11" i="46"/>
  <c r="B11" i="46"/>
  <c r="C40" i="70"/>
  <c r="C36" i="70"/>
  <c r="C28" i="70"/>
  <c r="C17" i="70"/>
  <c r="E7" i="69"/>
  <c r="F7" i="69"/>
  <c r="G7" i="69"/>
  <c r="E8" i="69"/>
  <c r="F8" i="69"/>
  <c r="G8" i="69"/>
  <c r="E9" i="69"/>
  <c r="F9" i="69"/>
  <c r="G9" i="69"/>
  <c r="E10" i="69"/>
  <c r="F10" i="69"/>
  <c r="G10" i="69"/>
  <c r="E11" i="69"/>
  <c r="F11" i="69"/>
  <c r="G11" i="69"/>
  <c r="E12" i="69"/>
  <c r="F12" i="69"/>
  <c r="G12" i="69"/>
  <c r="E13" i="69"/>
  <c r="F13" i="69"/>
  <c r="G13" i="69"/>
  <c r="E14" i="69"/>
  <c r="F14" i="69"/>
  <c r="G14" i="69"/>
  <c r="C15" i="69"/>
  <c r="D15" i="69"/>
  <c r="C16" i="69"/>
  <c r="D16" i="69"/>
  <c r="C17" i="69"/>
  <c r="D17" i="69"/>
  <c r="C12" i="82" l="1"/>
  <c r="D12" i="82" s="1"/>
  <c r="F12" i="82" s="1"/>
  <c r="C17" i="82"/>
  <c r="D17" i="82" s="1"/>
  <c r="F17" i="82" s="1"/>
  <c r="C16" i="82"/>
  <c r="D16" i="82" s="1"/>
  <c r="F16" i="82" s="1"/>
  <c r="C15" i="82"/>
  <c r="D15" i="82" s="1"/>
  <c r="F15" i="82" s="1"/>
  <c r="C21" i="82"/>
  <c r="D21" i="82" s="1"/>
  <c r="F21" i="82" s="1"/>
  <c r="C20" i="82"/>
  <c r="D20" i="82" s="1"/>
  <c r="F20" i="82" s="1"/>
  <c r="C19" i="82"/>
  <c r="D19" i="82" s="1"/>
  <c r="F19" i="82" s="1"/>
  <c r="B55" i="82"/>
  <c r="D56" i="82" s="1"/>
  <c r="D57" i="82" s="1"/>
  <c r="C18" i="82"/>
  <c r="D18" i="82" s="1"/>
  <c r="F18" i="82" s="1"/>
  <c r="F15" i="69"/>
  <c r="G14" i="75"/>
  <c r="G13" i="75"/>
  <c r="E16" i="69"/>
  <c r="G11" i="75"/>
  <c r="C42" i="70"/>
  <c r="C47" i="70" s="1"/>
  <c r="G16" i="69"/>
  <c r="F17" i="69"/>
  <c r="E15" i="69"/>
  <c r="K10" i="86"/>
  <c r="N10" i="86"/>
  <c r="G6" i="83"/>
  <c r="I6" i="83"/>
  <c r="E8" i="83"/>
  <c r="D7" i="83"/>
  <c r="F7" i="83" s="1"/>
  <c r="H7" i="83" s="1"/>
  <c r="D13" i="77"/>
  <c r="D14" i="77" s="1"/>
  <c r="G16" i="75"/>
  <c r="G12" i="75"/>
  <c r="G8" i="75"/>
  <c r="G9" i="75"/>
  <c r="G15" i="75"/>
  <c r="G7" i="75"/>
  <c r="E17" i="69"/>
  <c r="F16" i="69"/>
  <c r="G15" i="69"/>
  <c r="G17" i="69"/>
  <c r="C30" i="70"/>
  <c r="C46" i="70" s="1"/>
  <c r="C49" i="70" s="1"/>
  <c r="F11" i="44"/>
  <c r="D6" i="68"/>
  <c r="I6" i="68"/>
  <c r="D7" i="68"/>
  <c r="I7" i="68"/>
  <c r="D8" i="68"/>
  <c r="I8" i="68"/>
  <c r="D9" i="68"/>
  <c r="I9" i="68"/>
  <c r="D10" i="68"/>
  <c r="I10" i="68"/>
  <c r="D11" i="68"/>
  <c r="I11" i="68"/>
  <c r="D12" i="68"/>
  <c r="I12" i="68"/>
  <c r="D13" i="68"/>
  <c r="I13" i="68"/>
  <c r="D14" i="68"/>
  <c r="I14" i="68"/>
  <c r="D15" i="68"/>
  <c r="I15" i="68"/>
  <c r="D16" i="68"/>
  <c r="I16" i="68"/>
  <c r="D17" i="68"/>
  <c r="I17" i="68"/>
  <c r="D18" i="68"/>
  <c r="I18" i="68"/>
  <c r="D19" i="68"/>
  <c r="I19" i="68"/>
  <c r="D20" i="68"/>
  <c r="I20" i="68"/>
  <c r="D21" i="68"/>
  <c r="I21" i="68"/>
  <c r="D22" i="68"/>
  <c r="I22" i="68"/>
  <c r="D23" i="68"/>
  <c r="I23" i="68"/>
  <c r="D24" i="68"/>
  <c r="I24" i="68"/>
  <c r="D25" i="68"/>
  <c r="I25" i="68"/>
  <c r="D26" i="68"/>
  <c r="I26" i="68"/>
  <c r="D27" i="68"/>
  <c r="I27" i="68"/>
  <c r="D28" i="68"/>
  <c r="I28" i="68"/>
  <c r="D29" i="68"/>
  <c r="I29" i="68"/>
  <c r="D30" i="68"/>
  <c r="I30" i="68"/>
  <c r="D31" i="68"/>
  <c r="I31" i="68"/>
  <c r="D32" i="68"/>
  <c r="I32" i="68"/>
  <c r="D33" i="68"/>
  <c r="I33" i="68"/>
  <c r="D34" i="68"/>
  <c r="I34" i="68"/>
  <c r="D35" i="68"/>
  <c r="I35" i="68"/>
  <c r="D36" i="68"/>
  <c r="I36" i="68"/>
  <c r="D37" i="68"/>
  <c r="I37" i="68"/>
  <c r="D38" i="68"/>
  <c r="I38" i="68"/>
  <c r="D39" i="68"/>
  <c r="I39" i="68"/>
  <c r="D40" i="68"/>
  <c r="I40" i="68"/>
  <c r="D41" i="68"/>
  <c r="I41" i="68"/>
  <c r="D42" i="68"/>
  <c r="I42" i="68"/>
  <c r="F7" i="67"/>
  <c r="F8" i="67"/>
  <c r="F9" i="67"/>
  <c r="F10" i="67"/>
  <c r="F11" i="67"/>
  <c r="F12" i="67"/>
  <c r="B13" i="67"/>
  <c r="C13" i="67"/>
  <c r="D13" i="67"/>
  <c r="E13" i="67"/>
  <c r="D27" i="41"/>
  <c r="C27" i="41"/>
  <c r="B27" i="41"/>
  <c r="D26" i="41"/>
  <c r="C26" i="41"/>
  <c r="B26" i="41"/>
  <c r="E24" i="41"/>
  <c r="F24" i="41" s="1"/>
  <c r="E23" i="41"/>
  <c r="F23" i="41" s="1"/>
  <c r="E22" i="41"/>
  <c r="F22" i="41" s="1"/>
  <c r="E21" i="41"/>
  <c r="F21" i="41" s="1"/>
  <c r="E20" i="41"/>
  <c r="F20" i="41" s="1"/>
  <c r="E19" i="41"/>
  <c r="F19" i="41" s="1"/>
  <c r="E16" i="41"/>
  <c r="F16" i="41" s="1"/>
  <c r="E15" i="41"/>
  <c r="F15" i="41" s="1"/>
  <c r="E14" i="41"/>
  <c r="F14" i="41" s="1"/>
  <c r="E13" i="41"/>
  <c r="F13" i="41" s="1"/>
  <c r="E12" i="41"/>
  <c r="F12" i="41" s="1"/>
  <c r="E8" i="41"/>
  <c r="F8" i="41" s="1"/>
  <c r="E7" i="41"/>
  <c r="F7" i="41" s="1"/>
  <c r="E26" i="40"/>
  <c r="C26" i="40"/>
  <c r="D24" i="40"/>
  <c r="B24" i="40"/>
  <c r="E22" i="40"/>
  <c r="D22" i="40"/>
  <c r="B22" i="40"/>
  <c r="E21" i="40"/>
  <c r="C21" i="40"/>
  <c r="E23" i="40" l="1"/>
  <c r="E24" i="40" s="1"/>
  <c r="E25" i="40" s="1"/>
  <c r="E27" i="40" s="1"/>
  <c r="E29" i="40" s="1"/>
  <c r="E26" i="41"/>
  <c r="F26" i="41" s="1"/>
  <c r="C28" i="41"/>
  <c r="D28" i="41"/>
  <c r="D15" i="67"/>
  <c r="D28" i="70"/>
  <c r="D17" i="70"/>
  <c r="C22" i="40"/>
  <c r="C23" i="40" s="1"/>
  <c r="K11" i="86"/>
  <c r="N11" i="86"/>
  <c r="I7" i="83"/>
  <c r="G7" i="83"/>
  <c r="E9" i="83"/>
  <c r="D8" i="83"/>
  <c r="F8" i="83" s="1"/>
  <c r="H8" i="83" s="1"/>
  <c r="D15" i="77"/>
  <c r="D16" i="77" s="1"/>
  <c r="D19" i="77" s="1"/>
  <c r="G18" i="75"/>
  <c r="H7" i="75"/>
  <c r="E15" i="67"/>
  <c r="B28" i="41"/>
  <c r="F13" i="67"/>
  <c r="C15" i="67"/>
  <c r="E27" i="41"/>
  <c r="F27" i="41" s="1"/>
  <c r="F29" i="38"/>
  <c r="F28" i="38"/>
  <c r="F27" i="38"/>
  <c r="F26" i="38"/>
  <c r="F25" i="38"/>
  <c r="F24" i="38"/>
  <c r="D29" i="38"/>
  <c r="D28" i="38"/>
  <c r="D27" i="38"/>
  <c r="D26" i="38"/>
  <c r="D25" i="38"/>
  <c r="D24" i="38"/>
  <c r="E28" i="41" l="1"/>
  <c r="F28" i="41" s="1"/>
  <c r="K12" i="86"/>
  <c r="N12" i="86"/>
  <c r="G8" i="83"/>
  <c r="I8" i="83"/>
  <c r="E10" i="83"/>
  <c r="D9" i="83"/>
  <c r="F9" i="83" s="1"/>
  <c r="H9" i="83" s="1"/>
  <c r="D18" i="77"/>
  <c r="D21" i="77"/>
  <c r="D17" i="77"/>
  <c r="H8" i="75"/>
  <c r="I7" i="75"/>
  <c r="C24" i="40"/>
  <c r="C25" i="40" s="1"/>
  <c r="C27" i="40" s="1"/>
  <c r="C29" i="40" s="1"/>
  <c r="B26" i="19"/>
  <c r="C26" i="19"/>
  <c r="K13" i="86" l="1"/>
  <c r="N13" i="86"/>
  <c r="I9" i="83"/>
  <c r="G9" i="83"/>
  <c r="D10" i="83"/>
  <c r="F10" i="83" s="1"/>
  <c r="H10" i="83" s="1"/>
  <c r="D22" i="77"/>
  <c r="D23" i="77" s="1"/>
  <c r="D20" i="77"/>
  <c r="H9" i="75"/>
  <c r="I8" i="75"/>
  <c r="F21" i="44"/>
  <c r="K14" i="86" l="1"/>
  <c r="N14" i="86"/>
  <c r="G10" i="83"/>
  <c r="I10" i="83"/>
  <c r="H10" i="75"/>
  <c r="I9" i="75"/>
  <c r="K15" i="86" l="1"/>
  <c r="N15" i="86"/>
  <c r="H11" i="75"/>
  <c r="I10" i="75"/>
  <c r="K16" i="86" l="1"/>
  <c r="N16" i="86"/>
  <c r="H12" i="75"/>
  <c r="I11" i="75"/>
  <c r="E14" i="59"/>
  <c r="D11" i="59"/>
  <c r="D12" i="59"/>
  <c r="D13" i="59"/>
  <c r="D10" i="59"/>
  <c r="B40" i="60"/>
  <c r="E34" i="60"/>
  <c r="B34" i="60"/>
  <c r="E33" i="60"/>
  <c r="B33" i="60"/>
  <c r="K17" i="86" l="1"/>
  <c r="N17" i="86"/>
  <c r="H13" i="75"/>
  <c r="I12" i="75"/>
  <c r="E36" i="60"/>
  <c r="D14" i="59"/>
  <c r="F12" i="59" s="1"/>
  <c r="G12" i="59" s="1"/>
  <c r="F10" i="59"/>
  <c r="F11" i="59"/>
  <c r="G11" i="59" s="1"/>
  <c r="B35" i="60"/>
  <c r="B38" i="60" s="1"/>
  <c r="B39" i="60"/>
  <c r="C13" i="50"/>
  <c r="C14" i="50"/>
  <c r="C15" i="50"/>
  <c r="B15" i="50"/>
  <c r="B20" i="50" s="1"/>
  <c r="B13" i="50"/>
  <c r="B18" i="50" s="1"/>
  <c r="B14" i="50"/>
  <c r="B19" i="50" s="1"/>
  <c r="F7" i="49"/>
  <c r="E15" i="49"/>
  <c r="D15" i="49"/>
  <c r="G8" i="49"/>
  <c r="G9" i="49"/>
  <c r="G10" i="49"/>
  <c r="G11" i="49"/>
  <c r="G12" i="49"/>
  <c r="G13" i="49"/>
  <c r="G7" i="49"/>
  <c r="F8" i="49"/>
  <c r="F9" i="49"/>
  <c r="F10" i="49"/>
  <c r="F11" i="49"/>
  <c r="F12" i="49"/>
  <c r="F13" i="49"/>
  <c r="G20" i="48"/>
  <c r="F20" i="48"/>
  <c r="E20" i="48"/>
  <c r="D20" i="48"/>
  <c r="C20" i="48"/>
  <c r="B20" i="48"/>
  <c r="H8" i="48"/>
  <c r="H9" i="48"/>
  <c r="H10" i="48"/>
  <c r="H11" i="48"/>
  <c r="H12" i="48"/>
  <c r="H13" i="48"/>
  <c r="H14" i="48"/>
  <c r="H15" i="48"/>
  <c r="H16" i="48"/>
  <c r="H17" i="48"/>
  <c r="H18" i="48"/>
  <c r="H7" i="48"/>
  <c r="K18" i="86" l="1"/>
  <c r="N18" i="86"/>
  <c r="F13" i="59"/>
  <c r="G13" i="59" s="1"/>
  <c r="B36" i="60"/>
  <c r="H14" i="75"/>
  <c r="I13" i="75"/>
  <c r="B37" i="60"/>
  <c r="H20" i="48"/>
  <c r="G15" i="49"/>
  <c r="F15" i="49"/>
  <c r="G10" i="59"/>
  <c r="H8" i="46"/>
  <c r="J8" i="46" s="1"/>
  <c r="H9" i="46"/>
  <c r="J9" i="46" s="1"/>
  <c r="H7" i="46"/>
  <c r="G14" i="59" l="1"/>
  <c r="K19" i="86"/>
  <c r="N19" i="86"/>
  <c r="J21" i="86"/>
  <c r="J20" i="86"/>
  <c r="J23" i="86"/>
  <c r="J22" i="86"/>
  <c r="F14" i="59"/>
  <c r="B42" i="60"/>
  <c r="H15" i="75"/>
  <c r="I14" i="75"/>
  <c r="J7" i="46"/>
  <c r="H11" i="46"/>
  <c r="F12" i="44"/>
  <c r="F20" i="44"/>
  <c r="H20" i="44" s="1"/>
  <c r="E15" i="44"/>
  <c r="E14" i="44"/>
  <c r="E20" i="44"/>
  <c r="E18" i="44"/>
  <c r="E13" i="44"/>
  <c r="E11" i="44"/>
  <c r="E21" i="44"/>
  <c r="E16" i="44"/>
  <c r="E19" i="44"/>
  <c r="E12" i="44"/>
  <c r="E17" i="44"/>
  <c r="G15" i="44"/>
  <c r="G14" i="44"/>
  <c r="G20" i="44"/>
  <c r="G18" i="44"/>
  <c r="G13" i="44"/>
  <c r="G11" i="44"/>
  <c r="H11" i="44" s="1"/>
  <c r="G21" i="44"/>
  <c r="H21" i="44" s="1"/>
  <c r="G16" i="44"/>
  <c r="G19" i="44"/>
  <c r="G12" i="44"/>
  <c r="G17" i="44"/>
  <c r="F15" i="44"/>
  <c r="F14" i="44"/>
  <c r="F18" i="44"/>
  <c r="H18" i="44" s="1"/>
  <c r="F13" i="44"/>
  <c r="F16" i="44"/>
  <c r="H16" i="44" s="1"/>
  <c r="F19" i="44"/>
  <c r="H19" i="44" s="1"/>
  <c r="F17" i="44"/>
  <c r="H17" i="44" s="1"/>
  <c r="D23" i="44"/>
  <c r="C23" i="44"/>
  <c r="H15" i="44" l="1"/>
  <c r="H12" i="44"/>
  <c r="H14" i="44"/>
  <c r="I14" i="44" s="1"/>
  <c r="H13" i="44"/>
  <c r="I11" i="44" s="1"/>
  <c r="H16" i="75"/>
  <c r="I16" i="75" s="1"/>
  <c r="I15" i="75"/>
  <c r="J11" i="46"/>
  <c r="I16" i="44"/>
  <c r="G23" i="44"/>
  <c r="I20" i="44"/>
  <c r="I13" i="44"/>
  <c r="H7" i="39"/>
  <c r="I7" i="39"/>
  <c r="H8" i="39"/>
  <c r="I8" i="39"/>
  <c r="H9" i="39"/>
  <c r="I9" i="39"/>
  <c r="H10" i="39"/>
  <c r="I10" i="39"/>
  <c r="H11" i="39"/>
  <c r="I11" i="39"/>
  <c r="H12" i="39"/>
  <c r="I12" i="39"/>
  <c r="I6" i="39"/>
  <c r="H6" i="39"/>
  <c r="C13" i="39"/>
  <c r="C14" i="39" s="1"/>
  <c r="D13" i="39"/>
  <c r="D14" i="39" s="1"/>
  <c r="E13" i="39"/>
  <c r="E14" i="39" s="1"/>
  <c r="F13" i="39"/>
  <c r="F14" i="39" s="1"/>
  <c r="B13" i="39"/>
  <c r="B14" i="39" s="1"/>
  <c r="G7" i="39"/>
  <c r="G8" i="39"/>
  <c r="G9" i="39"/>
  <c r="G10" i="39"/>
  <c r="G11" i="39"/>
  <c r="G12" i="39"/>
  <c r="G6" i="39"/>
  <c r="F16" i="38"/>
  <c r="F11" i="38"/>
  <c r="D16" i="38"/>
  <c r="D11" i="38"/>
  <c r="D12" i="38" s="1"/>
  <c r="D13" i="38" s="1"/>
  <c r="B30" i="38"/>
  <c r="E22" i="38"/>
  <c r="C22" i="38"/>
  <c r="I19" i="44" l="1"/>
  <c r="I18" i="44"/>
  <c r="I17" i="44"/>
  <c r="H23" i="44"/>
  <c r="I21" i="44"/>
  <c r="I12" i="44"/>
  <c r="I15" i="44"/>
  <c r="K8" i="46"/>
  <c r="K9" i="46"/>
  <c r="K7" i="46"/>
  <c r="F30" i="38"/>
  <c r="D15" i="39"/>
  <c r="D30" i="38"/>
  <c r="B15" i="39"/>
  <c r="C15" i="39"/>
  <c r="H13" i="39"/>
  <c r="F15" i="39"/>
  <c r="I13" i="39"/>
  <c r="E15" i="39"/>
  <c r="G13" i="39"/>
  <c r="G14" i="39" s="1"/>
  <c r="F12" i="38"/>
  <c r="F13" i="38" s="1"/>
  <c r="D14" i="38"/>
  <c r="D15" i="38" s="1"/>
  <c r="D17" i="38" s="1"/>
  <c r="F2" i="34"/>
  <c r="G2" i="34" s="1"/>
  <c r="E6" i="34" s="1"/>
  <c r="E7" i="34" s="1"/>
  <c r="E8" i="34" s="1"/>
  <c r="E9" i="34" s="1"/>
  <c r="E10" i="34" s="1"/>
  <c r="D10" i="34" s="1"/>
  <c r="K11" i="46" l="1"/>
  <c r="G15" i="39"/>
  <c r="F14" i="38"/>
  <c r="F15" i="38" s="1"/>
  <c r="F17" i="38" s="1"/>
  <c r="D9" i="34"/>
  <c r="D8" i="34"/>
  <c r="D7" i="34"/>
  <c r="D6" i="34"/>
  <c r="E22" i="6" l="1"/>
  <c r="C22" i="6"/>
  <c r="F29" i="19" l="1"/>
  <c r="C29" i="19"/>
  <c r="F26" i="19"/>
  <c r="C27" i="19"/>
  <c r="F27" i="19"/>
  <c r="C28" i="19"/>
  <c r="F28" i="19"/>
  <c r="B28" i="19"/>
  <c r="B27" i="19"/>
  <c r="D7" i="19"/>
  <c r="E7" i="19"/>
  <c r="G7" i="19" s="1"/>
  <c r="D8" i="19"/>
  <c r="E8" i="19"/>
  <c r="G8" i="19" s="1"/>
  <c r="D9" i="19"/>
  <c r="E9" i="19"/>
  <c r="G9" i="19" s="1"/>
  <c r="D10" i="19"/>
  <c r="E10" i="19"/>
  <c r="G10" i="19" s="1"/>
  <c r="D11" i="19"/>
  <c r="E11" i="19"/>
  <c r="G11" i="19" s="1"/>
  <c r="D12" i="19"/>
  <c r="E12" i="19"/>
  <c r="G12" i="19" s="1"/>
  <c r="D13" i="19"/>
  <c r="E13" i="19"/>
  <c r="G13" i="19" s="1"/>
  <c r="D14" i="19"/>
  <c r="E14" i="19"/>
  <c r="G14" i="19" s="1"/>
  <c r="D15" i="19"/>
  <c r="E15" i="19"/>
  <c r="G15" i="19" s="1"/>
  <c r="D16" i="19"/>
  <c r="E16" i="19"/>
  <c r="G16" i="19" s="1"/>
  <c r="D17" i="19"/>
  <c r="E17" i="19"/>
  <c r="G17" i="19" s="1"/>
  <c r="D18" i="19"/>
  <c r="E18" i="19"/>
  <c r="G18" i="19" s="1"/>
  <c r="D19" i="19"/>
  <c r="E19" i="19"/>
  <c r="G19" i="19" s="1"/>
  <c r="D20" i="19"/>
  <c r="E20" i="19"/>
  <c r="G20" i="19" s="1"/>
  <c r="D21" i="19"/>
  <c r="E21" i="19"/>
  <c r="G21" i="19" s="1"/>
  <c r="D22" i="19"/>
  <c r="E22" i="19"/>
  <c r="G22" i="19" s="1"/>
  <c r="D23" i="19"/>
  <c r="E23" i="19"/>
  <c r="G23" i="19" s="1"/>
  <c r="D24" i="19"/>
  <c r="E24" i="19"/>
  <c r="G24" i="19" s="1"/>
  <c r="D25" i="19"/>
  <c r="E25" i="19"/>
  <c r="G25" i="19" s="1"/>
  <c r="E6" i="19"/>
  <c r="G6" i="19" s="1"/>
  <c r="D6" i="19"/>
  <c r="B30" i="6"/>
  <c r="D14" i="9"/>
  <c r="D13" i="9"/>
  <c r="D12" i="9"/>
  <c r="D11" i="9"/>
  <c r="D10" i="9"/>
  <c r="D9" i="9"/>
  <c r="D8" i="9"/>
  <c r="D7" i="9"/>
  <c r="D29" i="19" l="1"/>
  <c r="H25" i="19"/>
  <c r="H23" i="19"/>
  <c r="H21" i="19"/>
  <c r="H19" i="19"/>
  <c r="H17" i="19"/>
  <c r="H15" i="19"/>
  <c r="H13" i="19"/>
  <c r="H11" i="19"/>
  <c r="H9" i="19"/>
  <c r="H7" i="19"/>
  <c r="D26" i="19"/>
  <c r="D27" i="19"/>
  <c r="H24" i="19"/>
  <c r="H22" i="19"/>
  <c r="H20" i="19"/>
  <c r="H18" i="19"/>
  <c r="H16" i="19"/>
  <c r="H14" i="19"/>
  <c r="H12" i="19"/>
  <c r="H10" i="19"/>
  <c r="H8" i="19"/>
  <c r="D28" i="19"/>
  <c r="G29" i="19"/>
  <c r="G27" i="19"/>
  <c r="G28" i="19"/>
  <c r="E27" i="19"/>
  <c r="G26" i="19"/>
  <c r="H6" i="19"/>
  <c r="E28" i="19"/>
  <c r="E26" i="19"/>
  <c r="H29" i="19" l="1"/>
  <c r="H26" i="19"/>
  <c r="H28" i="19"/>
  <c r="H27" i="19"/>
  <c r="H7" i="4" l="1"/>
  <c r="H8" i="4"/>
  <c r="H9" i="4"/>
  <c r="H10" i="4"/>
  <c r="H6" i="4"/>
  <c r="C11" i="4"/>
  <c r="D11" i="4"/>
  <c r="E11" i="4"/>
  <c r="F11" i="4"/>
  <c r="G11" i="4"/>
  <c r="B11" i="4"/>
  <c r="D7" i="2" l="1"/>
  <c r="D8" i="2"/>
  <c r="D9" i="2"/>
  <c r="D10" i="2"/>
  <c r="D11" i="2"/>
  <c r="D12" i="2"/>
  <c r="D13" i="2"/>
  <c r="D14" i="2"/>
  <c r="D15" i="2"/>
  <c r="D16" i="2"/>
  <c r="D17" i="2"/>
  <c r="D18" i="2"/>
  <c r="D19" i="2"/>
  <c r="D20" i="2"/>
  <c r="D21" i="2"/>
  <c r="D6" i="2"/>
  <c r="D2" i="2"/>
  <c r="E1" i="2" s="1"/>
  <c r="A21" i="2" s="1"/>
  <c r="A20" i="2" s="1"/>
  <c r="A19" i="2" s="1"/>
  <c r="A18" i="2" s="1"/>
  <c r="A17" i="2" s="1"/>
  <c r="A16" i="2" s="1"/>
  <c r="A15" i="2" s="1"/>
  <c r="A14" i="2" s="1"/>
  <c r="A13" i="2" s="1"/>
  <c r="A12" i="2" s="1"/>
  <c r="A11" i="2" s="1"/>
  <c r="A10" i="2" s="1"/>
  <c r="A9" i="2" s="1"/>
  <c r="A8" i="2" s="1"/>
  <c r="A7" i="2" s="1"/>
  <c r="A6" i="2" s="1"/>
  <c r="D2" i="1" l="1"/>
  <c r="E1" i="1" s="1"/>
  <c r="A21" i="1" s="1"/>
  <c r="A20" i="1" s="1"/>
  <c r="A19" i="1" s="1"/>
  <c r="A18" i="1" s="1"/>
  <c r="A17" i="1" s="1"/>
  <c r="A16" i="1" s="1"/>
  <c r="A15" i="1" s="1"/>
  <c r="A14" i="1" s="1"/>
  <c r="A13" i="1" s="1"/>
  <c r="A12" i="1" s="1"/>
  <c r="A11" i="1" s="1"/>
  <c r="A10" i="1" s="1"/>
  <c r="A9" i="1" s="1"/>
  <c r="A8" i="1" s="1"/>
  <c r="A7" i="1" s="1"/>
  <c r="A6" i="1" s="1"/>
</calcChain>
</file>

<file path=xl/sharedStrings.xml><?xml version="1.0" encoding="utf-8"?>
<sst xmlns="http://schemas.openxmlformats.org/spreadsheetml/2006/main" count="3121" uniqueCount="1319">
  <si>
    <t>Aufgabe 1</t>
  </si>
  <si>
    <t>Jahr</t>
  </si>
  <si>
    <t>Gesamtkosten</t>
  </si>
  <si>
    <t>Branchendurchschnitt Kosten je Azubi</t>
  </si>
  <si>
    <t>1. Berechne in der Spalte D die Kosten je Azubi</t>
  </si>
  <si>
    <t>heute()</t>
  </si>
  <si>
    <t>input errechnet für tabelle</t>
  </si>
  <si>
    <t>Kosten je Azubi</t>
  </si>
  <si>
    <t>2. Formatiere alle EUR-Beträge mit €-Symbol und 2 Nachkommastellen</t>
  </si>
  <si>
    <t>3. Zentriere die Überschriften der Spalten vertikal.</t>
  </si>
  <si>
    <t>4. Füge bei der Überschrift in Spalte D einen Zeilenumbruch vor "je Azubi" ein.</t>
  </si>
  <si>
    <t>6. Platziere die Legende oberhalb des Diagramms.</t>
  </si>
  <si>
    <t>5. Erstelle ein Liniendiagramm mit aussagefähiger Überschrift.</t>
  </si>
  <si>
    <t>Anzahl 
der Azubis</t>
  </si>
  <si>
    <t>9. Richte die Seite mit der Tabelle so ein, dass die Tabelle inkl. der Aufgaben 1-9 auf einer A4 Seite gedruckt werden kann.</t>
  </si>
  <si>
    <t>Kosten 
je Azubi</t>
  </si>
  <si>
    <t>D6 = C6/B6</t>
  </si>
  <si>
    <t>Markieren C6 bis E21, rechte Mausklick, Zelle formatieren, Währung mit 2 Dezimalen</t>
  </si>
  <si>
    <t>Zellen formatieren =&gt; vertikal zentrieren oder "Ausrichtung" im Start-Menü</t>
  </si>
  <si>
    <t xml:space="preserve">Kurser vor "je Azubi" setzen, Alt-Enter drücken </t>
  </si>
  <si>
    <t>Druckansicht (blaue Linien verschieben); für Skalierung evtl. in "Seitenansicht und Drucken" =&gt; auf EINE Seite skalieren</t>
  </si>
  <si>
    <t xml:space="preserve">Abhängig von Office-Version.  Was immer geht: Auswahl Achse =&gt; über Startmenü =&gt; Schriftart und Größe ändern </t>
  </si>
  <si>
    <t>Aufgabe 2</t>
  </si>
  <si>
    <t>1. Jahr</t>
  </si>
  <si>
    <t>2. Jahr</t>
  </si>
  <si>
    <t>3. Jahr</t>
  </si>
  <si>
    <t>4. Jahr</t>
  </si>
  <si>
    <t>5. Jahr</t>
  </si>
  <si>
    <t>6. Jahr</t>
  </si>
  <si>
    <t>1. Ergänze die Tabelle um eine Summenzeile und eine Summenspalte, in der der Gesamtumsatz für jedes Jahr und der Gesamtumsatz jedes Vertreters errechnet wird.</t>
  </si>
  <si>
    <t>2. Formatiere Vertreternamen fett und kursiv - ebenso die Summen und die zugehörigen Überschriften.</t>
  </si>
  <si>
    <t>Kreisdiagramm</t>
  </si>
  <si>
    <t>Erstelle ein Kreisdiagramm, welches die prozentualen Anteile der einzelnen Mitarbeiter am Gesamtumsatz darstellt (über den gesamten Zeitraum!)</t>
  </si>
  <si>
    <t>Füge den Kreissegmenten die Prozenanteile, sowie die Bezeichnung der Vertreternamen hinzu, d.h. ohne extra Legende.</t>
  </si>
  <si>
    <t>Formatierung der Achsenbeschriftungen in Arial 10pt.</t>
  </si>
  <si>
    <t>Skalierung der Y-Achse von 2,5 Mio. bis 4,5 Mio in 250-Tausender-Schritten.</t>
  </si>
  <si>
    <t>Legende unterhalb der Grafik.</t>
  </si>
  <si>
    <t>Mit aussagefähiger Überschrift.</t>
  </si>
  <si>
    <t>Füge eine aussagefähige Überschrift ein.</t>
  </si>
  <si>
    <t>Heinrich, Hans</t>
  </si>
  <si>
    <t>Pogzeba, Paul</t>
  </si>
  <si>
    <t>Wittemann, Willi</t>
  </si>
  <si>
    <t>Kunz, Katharina</t>
  </si>
  <si>
    <t>Zacher, Zoe</t>
  </si>
  <si>
    <t>Umsatzstatistik unserer Handelsvertreter/innen</t>
  </si>
  <si>
    <t>Summe</t>
  </si>
  <si>
    <t>Summe:</t>
  </si>
  <si>
    <t>2. Datenbeschriftung hinzufügen (rechte Mausklick) - fügt zunächst die EUR-Werte hinzu</t>
  </si>
  <si>
    <t>3. Datenbeschriftung formatieren: Werte entfernen, dafür Prozent und Rubrik auswählen.</t>
  </si>
  <si>
    <t>4. Legende löschen</t>
  </si>
  <si>
    <t xml:space="preserve">1. Daten bearbeiten und Vertreternamen als horizontale Achsenbeschriftung (Rubrik) auswählen. </t>
  </si>
  <si>
    <t>Hinweis Kreisdiagramm:</t>
  </si>
  <si>
    <t>Aufgabe 3</t>
  </si>
  <si>
    <t>Name</t>
  </si>
  <si>
    <t>Stundenlohn       (in € / Std.)</t>
  </si>
  <si>
    <t>Wochenarbeitszeit (in Std. / Wo.)</t>
  </si>
  <si>
    <t>Monatsgrundlohn    (in € / Monat)</t>
  </si>
  <si>
    <t>Überstundenlohn (in € / Std.)</t>
  </si>
  <si>
    <t>Überstunden      (in Std. / Monat)</t>
  </si>
  <si>
    <t>Überstundenlohn (in € / Monat)</t>
  </si>
  <si>
    <t>Gesamtlohn                 (in € / Monat)</t>
  </si>
  <si>
    <t>Aufgabe 5</t>
  </si>
  <si>
    <t>Kostenübersicht</t>
  </si>
  <si>
    <t>Gehälter / Sozialaufwand</t>
  </si>
  <si>
    <t>Sonstige Kosten</t>
  </si>
  <si>
    <t>Aufgabe 4</t>
  </si>
  <si>
    <t>Eingabe</t>
  </si>
  <si>
    <t xml:space="preserve">  Listeneinkaufspreis</t>
  </si>
  <si>
    <t>- Lieferrabatt</t>
  </si>
  <si>
    <t>= Zieleinkaufspreis</t>
  </si>
  <si>
    <t>- Liefererskonto</t>
  </si>
  <si>
    <t>= Bareinkaufspreis</t>
  </si>
  <si>
    <t>+ Bezugskosten</t>
  </si>
  <si>
    <t>= Bezugspreis (Einstandspreis)</t>
  </si>
  <si>
    <t>Entscheidungskriterien</t>
  </si>
  <si>
    <t>Gewichtung in %</t>
  </si>
  <si>
    <t>Punkte                          (0 - 10)</t>
  </si>
  <si>
    <t>Gewichtete Punkte</t>
  </si>
  <si>
    <t>Preis</t>
  </si>
  <si>
    <t>Produktqualität</t>
  </si>
  <si>
    <t>Service/Kundendienst</t>
  </si>
  <si>
    <t>Zuverlässigkeit</t>
  </si>
  <si>
    <t>Lieferbedingungen</t>
  </si>
  <si>
    <t>Zahlungsbedingungen</t>
  </si>
  <si>
    <t>Aufgabe 11</t>
  </si>
  <si>
    <t>Produkt</t>
  </si>
  <si>
    <t>Einkaufspreis (netto)</t>
  </si>
  <si>
    <t>Verkaufspreis (netto)</t>
  </si>
  <si>
    <t>Verkaufspreis (brutto)</t>
  </si>
  <si>
    <t>Aufgabe 12</t>
  </si>
  <si>
    <t>Einzelwert (EUR)</t>
  </si>
  <si>
    <t>Gesamtwert (EUR)</t>
  </si>
  <si>
    <t>A. Vermögen</t>
  </si>
  <si>
    <t>I. Anlagevermögen</t>
  </si>
  <si>
    <t>1. Grundstücke und Bauten</t>
  </si>
  <si>
    <t>2. Maschinen und Anlagen</t>
  </si>
  <si>
    <t>3. Fuhrpark</t>
  </si>
  <si>
    <t xml:space="preserve">    PKW 1</t>
  </si>
  <si>
    <t xml:space="preserve">    PKW 2</t>
  </si>
  <si>
    <t>4. Betriebs- und Geschäftsaustattung</t>
  </si>
  <si>
    <t xml:space="preserve">    Verwaltung lt. Inventurliste</t>
  </si>
  <si>
    <t xml:space="preserve">    Verkauf lt. Inventurliste</t>
  </si>
  <si>
    <t xml:space="preserve">    Lager lt. Inventurliste</t>
  </si>
  <si>
    <t>II. Umlaufvermögen</t>
  </si>
  <si>
    <t>1. Handelswaren</t>
  </si>
  <si>
    <t xml:space="preserve">    Warengruppe I</t>
  </si>
  <si>
    <t xml:space="preserve">    Warengruppe II</t>
  </si>
  <si>
    <t xml:space="preserve">    Warengruppe III</t>
  </si>
  <si>
    <t>2. Forderungen a.L.u.L.</t>
  </si>
  <si>
    <t>3. Kassenbestand</t>
  </si>
  <si>
    <t>4. Bankguthaben</t>
  </si>
  <si>
    <t xml:space="preserve">    Sparkasse Dresden</t>
  </si>
  <si>
    <t xml:space="preserve">    Postbank</t>
  </si>
  <si>
    <t>Summe des Vermögens</t>
  </si>
  <si>
    <t>B. Schulden (Fremdkapital)</t>
  </si>
  <si>
    <t>I. Langfristige Schulden</t>
  </si>
  <si>
    <t>1. Hypothekenschulden</t>
  </si>
  <si>
    <t>2. Darlehen</t>
  </si>
  <si>
    <t>II. Kurzfristige Schulden</t>
  </si>
  <si>
    <t>1. Verbindlichkeiten a.L.u.L.</t>
  </si>
  <si>
    <t>2. Sonstige Verbindlichkeiten</t>
  </si>
  <si>
    <t>Summe der Schulden</t>
  </si>
  <si>
    <t>C. Reinvermögen (Eigenkapital)</t>
  </si>
  <si>
    <t xml:space="preserve">    Summe Vermögen</t>
  </si>
  <si>
    <t xml:space="preserve"> -  Summe Schulden (Fremdkapital)</t>
  </si>
  <si>
    <t xml:space="preserve"> = Reinvermögen (Eigenkapital)</t>
  </si>
  <si>
    <t>Aufgabe 8</t>
  </si>
  <si>
    <t>I. Quartal</t>
  </si>
  <si>
    <t>II. Quartal</t>
  </si>
  <si>
    <t>III. Quartal</t>
  </si>
  <si>
    <t>IV. Quartal</t>
  </si>
  <si>
    <t>Fuhrpark</t>
  </si>
  <si>
    <t>Büromöbel</t>
  </si>
  <si>
    <t>Sonstige Investitionen</t>
  </si>
  <si>
    <t>Aufgabe 7</t>
  </si>
  <si>
    <t>März</t>
  </si>
  <si>
    <t>Nettogehalt</t>
  </si>
  <si>
    <t>sonst. Einkünfte (Nebenjob)</t>
  </si>
  <si>
    <t>Fixe Kosten:</t>
  </si>
  <si>
    <t>Miete (Kaltmiete)</t>
  </si>
  <si>
    <t>Miete (Nebenkosten)</t>
  </si>
  <si>
    <t>Strom</t>
  </si>
  <si>
    <t>Variable Kosten:</t>
  </si>
  <si>
    <t>Smartphone</t>
  </si>
  <si>
    <t>Tanken</t>
  </si>
  <si>
    <t>Aufgabe 6</t>
  </si>
  <si>
    <t>Geplante Bestellmenge:</t>
  </si>
  <si>
    <t>Skonto bei Zahlung innerhalb von</t>
  </si>
  <si>
    <t>Aufgabe 9</t>
  </si>
  <si>
    <t>Artikel-Nr</t>
  </si>
  <si>
    <t>Gattung</t>
  </si>
  <si>
    <t>Artikelname</t>
  </si>
  <si>
    <t>Meldebestand</t>
  </si>
  <si>
    <t>Lagerbestand</t>
  </si>
  <si>
    <t>Lieferanten-Nr.</t>
  </si>
  <si>
    <t>Wiederbeschaffung</t>
  </si>
  <si>
    <t>Büromaterial</t>
  </si>
  <si>
    <t>Korrekturroller - 2er Set</t>
  </si>
  <si>
    <t>Haftnotizen Klebezettel</t>
  </si>
  <si>
    <t>Post-it Organizer</t>
  </si>
  <si>
    <t>Fineliner 25er Etui</t>
  </si>
  <si>
    <t>Pigment Liner</t>
  </si>
  <si>
    <t>Kugelschreiber</t>
  </si>
  <si>
    <t>Füllfederhalter</t>
  </si>
  <si>
    <t>Faserschreiber</t>
  </si>
  <si>
    <t>Textmarker 8er Set</t>
  </si>
  <si>
    <t>Whiteboard Marker</t>
  </si>
  <si>
    <t>OHP-Marker 5er Set</t>
  </si>
  <si>
    <t>Textmarker 4er Etui</t>
  </si>
  <si>
    <t>Bleistiftspitzer</t>
  </si>
  <si>
    <t>Dosenspitzer</t>
  </si>
  <si>
    <t>Radiergummi</t>
  </si>
  <si>
    <t>Ablagesysteme</t>
  </si>
  <si>
    <t>Ablagebox</t>
  </si>
  <si>
    <t>Schreibtischbox</t>
  </si>
  <si>
    <t>Ordnungsmappe</t>
  </si>
  <si>
    <t>Ringbuchmappe</t>
  </si>
  <si>
    <t>Dokumentenmappe</t>
  </si>
  <si>
    <t>Fächermappe</t>
  </si>
  <si>
    <t>Pultordner</t>
  </si>
  <si>
    <t>Präsentationsmappe</t>
  </si>
  <si>
    <t>Eckspanner</t>
  </si>
  <si>
    <t>Hängetasche Set</t>
  </si>
  <si>
    <t>Konferenzmappe</t>
  </si>
  <si>
    <t>Ordner</t>
  </si>
  <si>
    <t>Schnellhefter</t>
  </si>
  <si>
    <t>Stehsammler</t>
  </si>
  <si>
    <t>Aktenvernichter</t>
  </si>
  <si>
    <t>Telefonarm</t>
  </si>
  <si>
    <t>Rollcontainer</t>
  </si>
  <si>
    <t>Hängeregisterschrank</t>
  </si>
  <si>
    <t>Bürostuhl</t>
  </si>
  <si>
    <t>Besucherstuhl</t>
  </si>
  <si>
    <t>Schreibtisch</t>
  </si>
  <si>
    <t>Konferenztisch</t>
  </si>
  <si>
    <t>Aufgabe 10</t>
  </si>
  <si>
    <t>Akkord- und Prämienlohnberechnung</t>
  </si>
  <si>
    <t>Gefertigte Menge</t>
  </si>
  <si>
    <t>Lohn pro Stück</t>
  </si>
  <si>
    <t>Fehlerhafte Stückzahl ab</t>
  </si>
  <si>
    <t>Qualitätsprämie pro Monat</t>
  </si>
  <si>
    <t>Personal-Nr.</t>
  </si>
  <si>
    <t>Fertigungsmenge pro Monat</t>
  </si>
  <si>
    <t>davon fehlerhaft</t>
  </si>
  <si>
    <t>Qualitätsprämie</t>
  </si>
  <si>
    <t>Gesamtlohn pro Monat</t>
  </si>
  <si>
    <t>Rang beim Gesamtlohn</t>
  </si>
  <si>
    <t>Ackerman, Anton</t>
  </si>
  <si>
    <t>Bär, Bärbel</t>
  </si>
  <si>
    <t>Clemens, Carmen</t>
  </si>
  <si>
    <t>Dachs, Dörthe</t>
  </si>
  <si>
    <t>Engel, Elisabeth</t>
  </si>
  <si>
    <t>Fiegler, Frank</t>
  </si>
  <si>
    <t>Gans, Gustav</t>
  </si>
  <si>
    <t>Hummel, Heinrich</t>
  </si>
  <si>
    <t>Ibeling, Iris</t>
  </si>
  <si>
    <t>Justus, Jonas</t>
  </si>
  <si>
    <t>Knebel, Karin</t>
  </si>
  <si>
    <t>Liebknecht, Lars</t>
  </si>
  <si>
    <t>Martin, Mariko</t>
  </si>
  <si>
    <t>Nagel, Nils</t>
  </si>
  <si>
    <t>Opfermann, Olga</t>
  </si>
  <si>
    <t>Pogba, Paul</t>
  </si>
  <si>
    <t>Quandt, Quentin</t>
  </si>
  <si>
    <t>Rossmann, Richard</t>
  </si>
  <si>
    <t>Sacher, Siegbert</t>
  </si>
  <si>
    <t>Trump, Tabea</t>
  </si>
  <si>
    <t>Durchschnitt</t>
  </si>
  <si>
    <t>kleinster Wert</t>
  </si>
  <si>
    <t>größter Wert</t>
  </si>
  <si>
    <t>Adams Technik GmbH</t>
  </si>
  <si>
    <t xml:space="preserve"> Prowert GmbH &amp; Co. KG</t>
  </si>
  <si>
    <t>Aufgaben</t>
  </si>
  <si>
    <t>2. Sortiere die Tabelle nach Mitarbeiternamen - alphabetisch.</t>
  </si>
  <si>
    <t>Überstundenzuschlag</t>
  </si>
  <si>
    <t>1. Zentriere die Überschrift "Lohnliste … " über die Spalten A bis H, sowie die Spaltenüberschriften horizontal und vertikal.</t>
  </si>
  <si>
    <t>5. Berechne den Durchschnitt, den jeweils kleinsten bzw. größten Wert (Zeile 26-28).</t>
  </si>
  <si>
    <t>(Eingabefeld!)</t>
  </si>
  <si>
    <t>6. Berechne die Summen für Spalten (Zeile 29), wenn die Summe als sinnvolle Größe erscheint.</t>
  </si>
  <si>
    <t>7. Formatiere alle EUR-Beträge mit €-Zeichen und einer zwei Nachkommastellen und zentriert. Zahlen in grau hinterlegten Feldern zusätzlich fett.</t>
  </si>
  <si>
    <t>8. Erstelle ein Säulendiagramm, welches den "normalen" Monatslohn und den Überstundenlohn eines Monats "gestapelt" darstellt.</t>
  </si>
  <si>
    <t>Berechnung</t>
  </si>
  <si>
    <t>1. Berechne die Bezugspreise in Spalte D und F.</t>
  </si>
  <si>
    <t>3. Führe die Nutzwertanalyse durch und ermittle sie Summe der gewichteten Punkte (2 Nachkommastellen).</t>
  </si>
  <si>
    <t>7. Formatiere die Achsenbeschriftung und die Legende auf Calibri 11pt. Die Überschrift auf Calibri 18 pt.</t>
  </si>
  <si>
    <t>2. Berechne die gesamten Kosten je Jahr.</t>
  </si>
  <si>
    <t>3. Füge eine Zeile hinzu, welche den Energieaufwand prozentual zu den Gesamtkosten berechnet.</t>
  </si>
  <si>
    <t>6. Ermittle mit Hilfe geeigneter Funktionen den jeweils kleinsten und jeweils größten Wert für jede Kostenart im 5-Jahresvergleich.</t>
  </si>
  <si>
    <t>10. Richte die Seite so für einen Druck ein, dass Tabelle und Diagramm auf einer Seite dargestellt wird (Hochformat).</t>
  </si>
  <si>
    <t>6 Tagen</t>
  </si>
  <si>
    <t>10 Tagen</t>
  </si>
  <si>
    <t>Bezugspreiskalkulation</t>
  </si>
  <si>
    <t>- Rabatt</t>
  </si>
  <si>
    <t>- Skonto</t>
  </si>
  <si>
    <t>Angebotsvergleich - quantitativ</t>
  </si>
  <si>
    <t>Bezugspreis je Stück</t>
  </si>
  <si>
    <t>in %</t>
  </si>
  <si>
    <t>in EUR</t>
  </si>
  <si>
    <t>Eingabefeld</t>
  </si>
  <si>
    <t>Rabatt bei Abnahme von mind. (…Stück)</t>
  </si>
  <si>
    <t>April</t>
  </si>
  <si>
    <t>Mai</t>
  </si>
  <si>
    <t>Auto/ÖPNV</t>
  </si>
  <si>
    <t>Sparen</t>
  </si>
  <si>
    <t>Kabel/Internet</t>
  </si>
  <si>
    <t>Essen/Getränke</t>
  </si>
  <si>
    <t>3. Formatierungen</t>
  </si>
  <si>
    <t>Alle Zahlen mit €-Zeichen und 2 Nachkommastellen.</t>
  </si>
  <si>
    <t>Spaltenüberschriften zusätzlich kursiv.</t>
  </si>
  <si>
    <t>2. Fügen Sie eine Zeile ein und berechnen Sie ab Spalte C die Differenz der gesamten Investitionssumme zum Vorquartal.</t>
  </si>
  <si>
    <t>Die Spaltenüberschriften in Calibri 12 pt, fett, vertikal und horizontal zentriert.</t>
  </si>
  <si>
    <t>Zahlen: mit Tausender-Trennzeichen, ohne Nachkommastellen</t>
  </si>
  <si>
    <t>4. Diagramm erstellen</t>
  </si>
  <si>
    <t>Erstelle ein Kreisdiagramm, welches den Anteil der Investitionsbereiche für das Gesamtjahr verdeutlicht (in Prozent)</t>
  </si>
  <si>
    <t>Artikeldatei Bürobedarf der ABECE GmbH</t>
  </si>
  <si>
    <t>1. Formatiere die Überschrift in Arial 14 pt., fett, unterstrichen.</t>
  </si>
  <si>
    <t>3. Zentriere alle Spalten - außer B und C.</t>
  </si>
  <si>
    <t>4. Berechne Spalte D mit einer geeigneten Formel. Der Umsatzsteuersatz beträgt 19%.</t>
  </si>
  <si>
    <t>5. Fixiere die Spaltenüberschriften über "Fenster einfrieren"</t>
  </si>
  <si>
    <t>6. Überprüfe mit Hilfe einer geeigneten Funktion in Spalte I, ob der Lagerbestand ausreichend ist. Es sind 2 Meldungen möglich: "Auf Lager" oder "Bestellung!!!"</t>
  </si>
  <si>
    <t>7. Nutze die Funktion "Filtern", um die "Ablagesysteme" auszublenden.</t>
  </si>
  <si>
    <t>1. Sortierung: Gattung (A - Z)</t>
  </si>
  <si>
    <t>2. Sortierung: Verkaufspreis (aufsteigend)</t>
  </si>
  <si>
    <t>3. Sortierung: Artikelname (A-Z)</t>
  </si>
  <si>
    <t>1. Sortierung: Fehlerquote (aufsteigend)</t>
  </si>
  <si>
    <t>2. Sortierung: Name (A-Z)</t>
  </si>
  <si>
    <t>6. Sortiere die Daten nach den folgenden Kriterien:</t>
  </si>
  <si>
    <t>1. Säulendiagramm: Fehlerquote für jeden Mitarbeiter</t>
  </si>
  <si>
    <t>7. Erstelle 2 Säulendiagramme mit aussagefähiger Überschrift.</t>
  </si>
  <si>
    <t>1. Formatiere die Überschrift in Zeile 3 zentriert über die  Spalten A bis C, fett, Times New Roman 14 pt.</t>
  </si>
  <si>
    <t>2. Ermittle in Werte für die grau hinterlegten Feldern.</t>
  </si>
  <si>
    <t>3. Formatiere alle Werte mit Tausender-Trennzeichen und 2 Nachkommastellen.</t>
  </si>
  <si>
    <t>4. Ermittle rechts von den entsprechenden grauen Feldern die Anlagenquote, die Umlaufquote, die Eigenkapital- sowie die Fremdkapitalquote.</t>
  </si>
  <si>
    <t>6. Verlängere die vorhandenen Linien um eine Spalte nach rechts.</t>
  </si>
  <si>
    <t>Aufgabe 13</t>
  </si>
  <si>
    <t>1. Halbjahr</t>
  </si>
  <si>
    <t>Januar</t>
  </si>
  <si>
    <t>Februar</t>
  </si>
  <si>
    <t>Juni</t>
  </si>
  <si>
    <t>Absatz</t>
  </si>
  <si>
    <t>Aufgabe 14</t>
  </si>
  <si>
    <t>Einkauf</t>
  </si>
  <si>
    <t>Personal</t>
  </si>
  <si>
    <t>Vertrieb</t>
  </si>
  <si>
    <t>Juli</t>
  </si>
  <si>
    <t>August</t>
  </si>
  <si>
    <t>September</t>
  </si>
  <si>
    <t>Oktober</t>
  </si>
  <si>
    <t>November</t>
  </si>
  <si>
    <t>Dezember</t>
  </si>
  <si>
    <t>Aufgabe 17</t>
  </si>
  <si>
    <t>1. Quartal</t>
  </si>
  <si>
    <t>2. Quartal</t>
  </si>
  <si>
    <t>3. Quartal</t>
  </si>
  <si>
    <t>4. Quartal</t>
  </si>
  <si>
    <t>Filiale 1</t>
  </si>
  <si>
    <t>Filiale 2</t>
  </si>
  <si>
    <t>Filiale 3</t>
  </si>
  <si>
    <t>Filiale 4</t>
  </si>
  <si>
    <t>Filiale 5</t>
  </si>
  <si>
    <t>Aufgabe 18</t>
  </si>
  <si>
    <t>Angebote</t>
  </si>
  <si>
    <t>Listenpreis</t>
  </si>
  <si>
    <t>- Rabattbetrag</t>
  </si>
  <si>
    <t>Zieleinkaufspreis</t>
  </si>
  <si>
    <t>- Skontobetrag</t>
  </si>
  <si>
    <t>Bareinkaufspreis</t>
  </si>
  <si>
    <t>+ Anfuhr</t>
  </si>
  <si>
    <t>+ Verladen</t>
  </si>
  <si>
    <t>+ Fracht</t>
  </si>
  <si>
    <t>Bezugspreis</t>
  </si>
  <si>
    <t>Bewertung</t>
  </si>
  <si>
    <t>Aufgabe 19</t>
  </si>
  <si>
    <t>Art.Nr.</t>
  </si>
  <si>
    <t>EK-Preis</t>
  </si>
  <si>
    <t>Bestellmenge pro Jahr</t>
  </si>
  <si>
    <t>Anzahl der Best. pro Jahr</t>
  </si>
  <si>
    <t>Wert pro Bestellung</t>
  </si>
  <si>
    <t>% vom Gesamtwert</t>
  </si>
  <si>
    <t>Gruppe           A/B/C</t>
  </si>
  <si>
    <t>Aufgabe 20</t>
  </si>
  <si>
    <t>Fremdbezug</t>
  </si>
  <si>
    <t>Eigenfertigung</t>
  </si>
  <si>
    <t>Bezugspreis                     je Stück:</t>
  </si>
  <si>
    <t>Materialkosten             je Stück.:</t>
  </si>
  <si>
    <t>Fertigungskosten           je Stück.:</t>
  </si>
  <si>
    <t>Aufgabe 15</t>
  </si>
  <si>
    <t>Preis pro</t>
  </si>
  <si>
    <t>Karten</t>
  </si>
  <si>
    <t>Verkaufte</t>
  </si>
  <si>
    <t>Freie</t>
  </si>
  <si>
    <t>Umsatz</t>
  </si>
  <si>
    <t>Karte in EUR</t>
  </si>
  <si>
    <t>gesamt</t>
  </si>
  <si>
    <t>Plätze</t>
  </si>
  <si>
    <t>Montag</t>
  </si>
  <si>
    <t>Dienstag</t>
  </si>
  <si>
    <t>Mittwoch</t>
  </si>
  <si>
    <t>Donnerstag</t>
  </si>
  <si>
    <t>Freitag</t>
  </si>
  <si>
    <t>Samstag</t>
  </si>
  <si>
    <t>Sonntag</t>
  </si>
  <si>
    <t>Aufgabe 16</t>
  </si>
  <si>
    <t>aktuelles Jahr</t>
  </si>
  <si>
    <t>Vorjahr</t>
  </si>
  <si>
    <t>Eigenkapital</t>
  </si>
  <si>
    <t>Fremdkapital</t>
  </si>
  <si>
    <t>Löhne und Gehälter</t>
  </si>
  <si>
    <t>Mietaufwendungen</t>
  </si>
  <si>
    <t>Fremdkapitalzinsen</t>
  </si>
  <si>
    <t>Gewinn</t>
  </si>
  <si>
    <t>7. Formatiere den Druckbereich so, dass nur die Tabelle gedruckt wird (1-seitig, möglichst groß).</t>
  </si>
  <si>
    <t>1. Ermittle in der Spalte H den Halbjahres-Absatz je Produkt.</t>
  </si>
  <si>
    <t>4. Formatierungen</t>
  </si>
  <si>
    <t>Überschrift zentriert über gesamte Tabelle, fett, Calibri 14 pt.</t>
  </si>
  <si>
    <t>Spaltenüberschriften zentriert, fett</t>
  </si>
  <si>
    <t>Diagramm 1 Säulen nebeneinander</t>
  </si>
  <si>
    <t>6. Richte die Seite so ein, dass Tabelle und beide Grafiken auf einer Seite ausgedruckt werden können.</t>
  </si>
  <si>
    <t>4. Formatiere den Druckbereich so, dass die Tabelle und das Diagramm auf eine Seite passen.</t>
  </si>
  <si>
    <t>1. Ermittle die fehlenden Werte in Spalte F und G.</t>
  </si>
  <si>
    <t>2. Ergänze eine Zeile und bilde die Summen für die Spalten D bis G.</t>
  </si>
  <si>
    <t>4. Formatiere die Tabelle mit Gitternetzlinien, Texte in fett, Zahlen zentriert, Überschriften zentriert.</t>
  </si>
  <si>
    <t xml:space="preserve">3. Formatiere die EUR-Beträge mit €-Zeichen, Tausender-Trennzeichen und 2 Nachkommastellen. </t>
  </si>
  <si>
    <t>1. Berechne in einer extra Zeile bzw. extra Spalte die Summen je Quartal und je Filiale.</t>
  </si>
  <si>
    <t>2. Ermittle für die Quartalssummen die Veränderung in EUR und in Prozent im Vergleich zum Vorquartel (ab dem 2. Quartal)</t>
  </si>
  <si>
    <t>3. Formatiere die berechneten Werte in fett und kursiv. Stelle die prozentuale Veränderung mit %-Zeichen dar.</t>
  </si>
  <si>
    <t>4. Formatiere alle EUR-Werte mit €-Zeichen, Tausender-Trennzeichen und 2 Nachkommastellen.</t>
  </si>
  <si>
    <t>8. Vergrößere die Zeile 5 auf 30 Pixel, zentriere die Spaltenüberschriften horizontal und vertikal.</t>
  </si>
  <si>
    <t>10. Richte die Seite so ein, dass Tabelle und Diagramm auf einer Seite ausgedruckt werden.</t>
  </si>
  <si>
    <t>Für einen Angebotsvergleich liegen Dir die folgenden Informationen vor:</t>
  </si>
  <si>
    <t>Anbieter A</t>
  </si>
  <si>
    <t>Anbieter B</t>
  </si>
  <si>
    <t>Anbieter C</t>
  </si>
  <si>
    <t>Anbieter D</t>
  </si>
  <si>
    <t>Anbieter E</t>
  </si>
  <si>
    <t>A</t>
  </si>
  <si>
    <t>Rabatt in %</t>
  </si>
  <si>
    <t>Skonto in %</t>
  </si>
  <si>
    <t>B</t>
  </si>
  <si>
    <t>C</t>
  </si>
  <si>
    <t>D</t>
  </si>
  <si>
    <t>E</t>
  </si>
  <si>
    <t>Unternehmen A:</t>
  </si>
  <si>
    <t xml:space="preserve">LP/Stk. </t>
  </si>
  <si>
    <t xml:space="preserve">Rabatt </t>
  </si>
  <si>
    <t xml:space="preserve">Skonto </t>
  </si>
  <si>
    <t xml:space="preserve">Anfuhr </t>
  </si>
  <si>
    <t xml:space="preserve">Verladen </t>
  </si>
  <si>
    <t xml:space="preserve">Fracht </t>
  </si>
  <si>
    <t xml:space="preserve">%; </t>
  </si>
  <si>
    <t xml:space="preserve"> €/Stk.; </t>
  </si>
  <si>
    <t xml:space="preserve"> €/Stk.</t>
  </si>
  <si>
    <t>1. Ermittle die fehlenden Werte in Spalte E und F. Benutze dafür eine kopierbare Formel.</t>
  </si>
  <si>
    <t>4. Sortiere die Tabelle nach dem %-Anteil in Spalte G (absteigend)</t>
  </si>
  <si>
    <t>Spalte 2+3: Kosten für den Fremdbezug - einmal je Stück, einmal gesamt</t>
  </si>
  <si>
    <t>Spalte 4+5: Kosten für die Eigenfertigung - einmal je Stück, einmal gesamt</t>
  </si>
  <si>
    <t>2. Formatiere die Tabelle wie folgt:</t>
  </si>
  <si>
    <t>Um die gesamte Tabelle ist ein doppelter Rahmen zu legen.</t>
  </si>
  <si>
    <t>3. Stelle die Gesamtkosten Fremdbezug und Eigenfertigung als Liniendiagramm dar.</t>
  </si>
  <si>
    <t xml:space="preserve">4. Ordne die Legende rechts an. Achte darauf, dass "Fremdbezug" in der Legende oben steht. </t>
  </si>
  <si>
    <t>WENN()</t>
  </si>
  <si>
    <t>SVERWEIS()</t>
  </si>
  <si>
    <t>RANG()</t>
  </si>
  <si>
    <t>Beispiel:</t>
  </si>
  <si>
    <t>Wachstum</t>
  </si>
  <si>
    <t>zum Vormonat</t>
  </si>
  <si>
    <t>Aufgabe 23</t>
  </si>
  <si>
    <t>Arbeitsstunden pro Jahr:</t>
  </si>
  <si>
    <t>Weihnachtsgeld</t>
  </si>
  <si>
    <t>Aufgabe 22</t>
  </si>
  <si>
    <t>Bestell-häufigkeit</t>
  </si>
  <si>
    <t>Bestellmenge</t>
  </si>
  <si>
    <t xml:space="preserve">Durchschnittl. Lagerbestand          </t>
  </si>
  <si>
    <t>(VE)</t>
  </si>
  <si>
    <t>(in €)</t>
  </si>
  <si>
    <t xml:space="preserve"> (in €)</t>
  </si>
  <si>
    <t>Aufgabe 21</t>
  </si>
  <si>
    <t>Handelskalkulation</t>
  </si>
  <si>
    <t>Eingabe
 in %</t>
  </si>
  <si>
    <t>Eingabe
in €</t>
  </si>
  <si>
    <t>Betrag 
in €</t>
  </si>
  <si>
    <t>Listeneinkaufspreis</t>
  </si>
  <si>
    <t>Bezugs- bzw. Einstandspreis</t>
  </si>
  <si>
    <t>Selbstkosten</t>
  </si>
  <si>
    <t>Barverkaufspreis</t>
  </si>
  <si>
    <t>Zielverkaufspreis</t>
  </si>
  <si>
    <t>Listenverkaufspreis bzw Nettopreis</t>
  </si>
  <si>
    <t>Bruttoverkaufspreis</t>
  </si>
  <si>
    <t>Aufgabe 25</t>
  </si>
  <si>
    <t>Gewinn:</t>
  </si>
  <si>
    <t>Gesellschafter</t>
  </si>
  <si>
    <t>Kapital</t>
  </si>
  <si>
    <t>Verzinsung</t>
  </si>
  <si>
    <t>Restgewinn</t>
  </si>
  <si>
    <t>Gesamtgewinn</t>
  </si>
  <si>
    <t>Komplementär Werner Reif</t>
  </si>
  <si>
    <t>Komplementärin Petra Reif</t>
  </si>
  <si>
    <t>Kommanditistin Sabine Reif</t>
  </si>
  <si>
    <t>Kommanditist Dirk König</t>
  </si>
  <si>
    <t>&lt;</t>
  </si>
  <si>
    <t>Aufgabe 26</t>
  </si>
  <si>
    <t>Außendienstmitarbeiter</t>
  </si>
  <si>
    <t>Provisionssatz</t>
  </si>
  <si>
    <t>Provision</t>
  </si>
  <si>
    <t>Provisionstabelle</t>
  </si>
  <si>
    <t>Aufgabe 27</t>
  </si>
  <si>
    <t>Variable Stückkosten</t>
  </si>
  <si>
    <t>Fixe Kosten</t>
  </si>
  <si>
    <t>Verkaufserlös je Stück</t>
  </si>
  <si>
    <t>Menge</t>
  </si>
  <si>
    <t>Var. Kosten</t>
  </si>
  <si>
    <t>Ges. Kosten</t>
  </si>
  <si>
    <t>Erlöse</t>
  </si>
  <si>
    <t>Gew./Verl.</t>
  </si>
  <si>
    <t>X</t>
  </si>
  <si>
    <t>Kf</t>
  </si>
  <si>
    <t>Kv</t>
  </si>
  <si>
    <t>K</t>
  </si>
  <si>
    <t>G</t>
  </si>
  <si>
    <t>Abteilung</t>
  </si>
  <si>
    <t>Belegschaft</t>
  </si>
  <si>
    <t>Anteil an der Gesamtbelegschaft</t>
  </si>
  <si>
    <t>Wertung</t>
  </si>
  <si>
    <t>Personalabteilung</t>
  </si>
  <si>
    <t>Buchhaltung</t>
  </si>
  <si>
    <t>Finanzabteilung</t>
  </si>
  <si>
    <t>Verkauf</t>
  </si>
  <si>
    <t>Marketing</t>
  </si>
  <si>
    <t>Außendienst</t>
  </si>
  <si>
    <t>Technik und Entwicklung</t>
  </si>
  <si>
    <t>Produktion</t>
  </si>
  <si>
    <t>Gesamt</t>
  </si>
  <si>
    <t>Aufgabe 28</t>
  </si>
  <si>
    <t>Rechnungs-nummer</t>
  </si>
  <si>
    <t>Kunden-nummer</t>
  </si>
  <si>
    <t>Betrag</t>
  </si>
  <si>
    <t>Fälligkeits-datum</t>
  </si>
  <si>
    <t>Überprüfungs-
datum</t>
  </si>
  <si>
    <t>Mahnstufe</t>
  </si>
  <si>
    <t>Verzugs-
zinsen</t>
  </si>
  <si>
    <t>Gesamt-
betrag</t>
  </si>
  <si>
    <t>Verzugszinsen-Staffelung</t>
  </si>
  <si>
    <t>Zinssatz (%)</t>
  </si>
  <si>
    <t>1. Mahnung</t>
  </si>
  <si>
    <t>2. Mahnung</t>
  </si>
  <si>
    <t>3. Mahnung</t>
  </si>
  <si>
    <t>- Lieferskonto</t>
  </si>
  <si>
    <t>+ Handlungskosten</t>
  </si>
  <si>
    <t>+ Gewinn</t>
  </si>
  <si>
    <t>+ Kundenskonto</t>
  </si>
  <si>
    <t>+ Vertreterprovision</t>
  </si>
  <si>
    <t>+ Kundenrabatt</t>
  </si>
  <si>
    <t>+ Umsatzsteuer</t>
  </si>
  <si>
    <t>1. Ergänze das Kalkulationsschema mit Hilfe geeigneter Formeln.</t>
  </si>
  <si>
    <t>Kosten je Bestellung:</t>
  </si>
  <si>
    <t>Lagerhaltungskostensatz:</t>
  </si>
  <si>
    <t>Jährliche Beschaffungsmenge:</t>
  </si>
  <si>
    <t>Einstandspreis je VE (&lt; 5.000 VE)</t>
  </si>
  <si>
    <t>Einstandspreis je VE (ab  5.000 VE)</t>
  </si>
  <si>
    <t>Einstandspreis je VE (ab  10.000 VE)</t>
  </si>
  <si>
    <t xml:space="preserve"> </t>
  </si>
  <si>
    <t>Berechnungshinweise: (bitte bei Bedarf einblenden)</t>
  </si>
  <si>
    <t>Durchschnittlicher Lagerbestand = (Bestellmenge/2) x Einstandspreis</t>
  </si>
  <si>
    <t>Lagerhaltungskosten = durschnittlicher Lagerbestand x Lagerhaltungskostensatz</t>
  </si>
  <si>
    <t>Bestellkosten = Bestellhäufigkeit x Kosten je Bestellung</t>
  </si>
  <si>
    <t>Beschaffungskosten = Bestellkosten + Lagerhaltungskosten</t>
  </si>
  <si>
    <t>x = Berechnungshinweise anzeigen</t>
  </si>
  <si>
    <t>Bruttogehalt pro Monat</t>
  </si>
  <si>
    <t>Rentenversicherung</t>
  </si>
  <si>
    <t>Arbeitslosenversicherung</t>
  </si>
  <si>
    <t>Krankenversicherung</t>
  </si>
  <si>
    <t>Pflegeversicherung</t>
  </si>
  <si>
    <t>weiterhin sind zu berücksichtigen: einmalige Kosten für die Personalbeschaffung</t>
  </si>
  <si>
    <t>1. Erstelle eine geeignete Tabelle. Für die Kalkulation sind die folgenden Daten zu berücksichtigen:</t>
  </si>
  <si>
    <t>Kosten je Arbeitsstunde:</t>
  </si>
  <si>
    <t>Hinweis: Wenn die Tabelle richtig angelegt ist, kann man das durch "spielen" mit dem Stundensatz herausfinden.</t>
  </si>
  <si>
    <t>Beiträge zu Sozialversicherungen (der Arbeitsgeber trägt jeweils 50% der angegebenen Sätze).</t>
  </si>
  <si>
    <t>(natürlich kann man es auch berechnen - allerdings ist "probieren" durchaus ein legitimes Mittel).</t>
  </si>
  <si>
    <t>einmalige Kosten Personalbeschaffung:</t>
  </si>
  <si>
    <t>Hinweis: Wenn die Tabelle richtig angelegt ist, kann man das durch "spielen" mit dem Bruttogehalt herausfinden.</t>
  </si>
  <si>
    <t>Kapitalverzinsung:</t>
  </si>
  <si>
    <t>2. Zentriere die Überschriften (Zeilen 8 und 9) horitonzal und vertikal.</t>
  </si>
  <si>
    <t>Verteilung 
Restgewinn</t>
  </si>
  <si>
    <t>3. Stelle die Werte in Spalte C mit Tausender-Trennzeichen und €-Zeichen dar - ohne Nachkommastellen.</t>
  </si>
  <si>
    <t>5. Berechne die fehlenden Werte. Alle berechneten Werte sind kursiv, mit €-Zeichen und 2 Nachkommastellen zu formatieren.</t>
  </si>
  <si>
    <t>4. Der Jahresgewinn der KG betrug: 73.290 EUR, die Kapitalverzinsung 4%. Trage die Werte oben ein.</t>
  </si>
  <si>
    <t xml:space="preserve">6. Erstelle ein Balkendiagramm, welches die Provisionshöhe der einzelnen Außendienstmitarbeiter miteinander vergleicht. </t>
  </si>
  <si>
    <t>Produktionsmenge Juni:</t>
  </si>
  <si>
    <t>Produktionsmenge Juli:</t>
  </si>
  <si>
    <t>Nutzenschwelle/Gewinnschwelle - Break-even-Point</t>
  </si>
  <si>
    <t>2. Fülle gesamte Zeile 12 mit Formeln aus, welche sich nach unten kopieren lassen.</t>
  </si>
  <si>
    <t>3. Stelle alle EUR-Werte mit €-Zeichen, Tausender-Trennzeichen und 2 Nachkommastellen dar.</t>
  </si>
  <si>
    <t>Gesamtkosten Juni:</t>
  </si>
  <si>
    <t>Gesamtkosten Juli:</t>
  </si>
  <si>
    <t>Variable Kosten je Stück:</t>
  </si>
  <si>
    <t>2. Berechne zunächst die variablen Stückkosten in Zelle F8.</t>
  </si>
  <si>
    <t>über 12 Tage</t>
  </si>
  <si>
    <t>über 30 Tage</t>
  </si>
  <si>
    <t>über 50 Tage</t>
  </si>
  <si>
    <t>Frist</t>
  </si>
  <si>
    <t>1. Füge eine Spalte vor der Spalte F ein.</t>
  </si>
  <si>
    <t>2. Berechne in der neuen Spalte, wie viele Tage der Betrag bereits überfällig ist.</t>
  </si>
  <si>
    <t>3. Füge vor der "Verzugszinsen-Staffelung" in Spalte A die Fristen ein (also 12, 30 und 50)</t>
  </si>
  <si>
    <t>4. Fülle die "Mahnstufe" und die "Verzugszinsen" mit Hilfe einer geeigneten Funktion bzw. Formel aus.</t>
  </si>
  <si>
    <t>5. Formatiere alle berechneten Felder kursiv, hellgrau hinterlegt und EUR-Werte als "Währung".</t>
  </si>
  <si>
    <t>ø Fehltage Summe 
pro Monat</t>
  </si>
  <si>
    <t>ø monatl. Fehltage 
je Mitarbeiter</t>
  </si>
  <si>
    <t>ø jährliche Fehltage 
je Mitarbeiter</t>
  </si>
  <si>
    <t>&lt; 7, dann ist der Wert "niedrig" einzutragen</t>
  </si>
  <si>
    <t>zwischen 7, aber unter 9: bitte den Wert "normal" eintragen</t>
  </si>
  <si>
    <t>9 bis unter 11: bitte den Wert "erhöht" eintragen</t>
  </si>
  <si>
    <t>11 oder höher: bitte den Wert "deutlich erhöht" eintragen</t>
  </si>
  <si>
    <t>4. Bewertung (Spalte G): Löse die Aufgabe mit Hilfe der SVERWEIS-Funktion (unter Bezug auf die neu angelegte Tabelle).</t>
  </si>
  <si>
    <t>4. Formatierung der Bezugspreise und die Summen der gewichteten Punkte in Arial 12 pt fett.</t>
  </si>
  <si>
    <t>6. Füge eine aussagefähige Überschrift ein, sowie Beschriftungen beider Achsen. Legende oberhalb der Säulen.</t>
  </si>
  <si>
    <t>bitte hier das Diagramm einfügen</t>
  </si>
  <si>
    <t>5. Erstelle ein Säulendiagramm (gruppiert), welches die gewichteten Punkte der beiden Angebote 
    gegenüberstellt - je Entscheidungskriterium.</t>
  </si>
  <si>
    <t>Anteil Energieaufwand</t>
  </si>
  <si>
    <t>4. Formatiere alle Zahlen mit 1.000er-Trennzeichen und den Prozentwert auf 1 Nachkommastelle.</t>
  </si>
  <si>
    <t>7. Zentriere die Spaltenüberschriften (horizontal und vertikal) und formatiere sie fett in Arial 11 pt.</t>
  </si>
  <si>
    <t>hier das Diagramm einfügen</t>
  </si>
  <si>
    <t>9. Erstelle ein Säulendiagramm (gruppiert), welches die prozentuale Kostenentwicklung des Energie- und    
    Materialaufwands über die 5 Jahre zeigt - inkl. Überschrift und Achsentiteln.</t>
  </si>
  <si>
    <t>zu beginnen! Alternativ kann auch ein Leerzeichen vorher eingegeben werden.</t>
  </si>
  <si>
    <r>
      <rPr>
        <b/>
        <sz val="11"/>
        <color theme="1"/>
        <rFont val="Calibri"/>
        <family val="2"/>
        <scheme val="minor"/>
      </rPr>
      <t>Hinweis:</t>
    </r>
    <r>
      <rPr>
        <sz val="11"/>
        <color theme="1"/>
        <rFont val="Calibri"/>
        <family val="2"/>
        <scheme val="minor"/>
      </rPr>
      <t xml:space="preserve"> Soll ein Textfel mit einem "+", einem "-" oder einem "=" beginnen, so ist der Text mit einem ' (Zeichen über der Raute)</t>
    </r>
  </si>
  <si>
    <t>Hochrechnung</t>
  </si>
  <si>
    <r>
      <rPr>
        <b/>
        <sz val="11"/>
        <color theme="1"/>
        <rFont val="Calibri"/>
        <family val="2"/>
        <scheme val="minor"/>
      </rPr>
      <t>Hinweis:</t>
    </r>
    <r>
      <rPr>
        <sz val="11"/>
        <color theme="1"/>
        <rFont val="Calibri"/>
        <family val="2"/>
        <scheme val="minor"/>
      </rPr>
      <t xml:space="preserve"> Je nach Excel-Version kann die Farbe in der Lösung von hellblau abweichen! Das kann man leider nicht verhindern.</t>
    </r>
  </si>
  <si>
    <t>1. Berechne die Summen je Quartal und je Investitionsbereich (z.B. Fuhrpark)</t>
  </si>
  <si>
    <t>Differenz zum Vorquartal</t>
  </si>
  <si>
    <t>Verkaufspreis 
(netto)</t>
  </si>
  <si>
    <t>Verkaufspreis 
(brutto)</t>
  </si>
  <si>
    <r>
      <rPr>
        <b/>
        <u/>
        <sz val="11"/>
        <color theme="1"/>
        <rFont val="Calibri"/>
        <family val="2"/>
        <scheme val="minor"/>
      </rPr>
      <t>Hinweis:</t>
    </r>
    <r>
      <rPr>
        <sz val="11"/>
        <color theme="1"/>
        <rFont val="Calibri"/>
        <family val="2"/>
        <scheme val="minor"/>
      </rPr>
      <t xml:space="preserve"> Das geht mit "ALT + Enter". Der Curser muss dabei zwischen z.B. "Verkaufspreis" und der Klammer stehen.</t>
    </r>
  </si>
  <si>
    <t>5. Fixiere die Spaltenüberschriften über "Fenster fixieren"</t>
  </si>
  <si>
    <t>8. Sortiere die Daten anhand von 3 Kriterien (gleichzeitig) - Lösche zuvor eine evtl. bereits vorhandene Sortierung</t>
  </si>
  <si>
    <t>Alternative Lösung der Aufgabe mit SVERWEIS Zelle E21</t>
  </si>
  <si>
    <t>Fehlerqote in %</t>
  </si>
  <si>
    <t>2. Säulendiagramm: Gesamtlohn für jeden Mitarbeiter; breite grüne Säulen, Y-Achse entfert, Hilfslinien Y-Achse entfernt, Werte anzeigen lassen.</t>
  </si>
  <si>
    <r>
      <rPr>
        <b/>
        <sz val="11"/>
        <color theme="1"/>
        <rFont val="Calibri"/>
        <family val="2"/>
        <scheme val="minor"/>
      </rPr>
      <t>Hinweis:</t>
    </r>
    <r>
      <rPr>
        <sz val="11"/>
        <color theme="1"/>
        <rFont val="Calibri"/>
        <family val="2"/>
        <scheme val="minor"/>
      </rPr>
      <t xml:space="preserve"> damit Daten in Diagrammen gut lesbar sind, sind diese oft zu "verkleinern" - also die Schriftgröße reduzieren (hier bei den Werten sinnvoll anwendbar)</t>
    </r>
  </si>
  <si>
    <t>EK-Quote</t>
  </si>
  <si>
    <t>in Prozent</t>
  </si>
  <si>
    <t>Alle berechneten Zahlen fett und kursiv, alle Werte zentriert</t>
  </si>
  <si>
    <t>Bearbeitungshinweis:</t>
  </si>
  <si>
    <t xml:space="preserve">Die "gestapelte Säule" kann nicht direkt erstellt werden. Der Umweg geht wie folgt: </t>
  </si>
  <si>
    <r>
      <t>Gestapelte Säule 100% einfügen, danach in das Diagramm klicken, Daten auswählen,</t>
    </r>
    <r>
      <rPr>
        <b/>
        <u/>
        <sz val="11"/>
        <color theme="1"/>
        <rFont val="Calibri"/>
        <family val="2"/>
        <scheme val="minor"/>
      </rPr>
      <t xml:space="preserve"> Zeile und Spalte wechseln</t>
    </r>
  </si>
  <si>
    <t>Um die Beschriftung unter der Säule zu verändern: Daten auswählen, Achsenbeschriftung horizontal ändern/bearbeiten.</t>
  </si>
  <si>
    <t xml:space="preserve">Anmerkung: </t>
  </si>
  <si>
    <t>Handelsspanne in %:Verkaufspreis/Einkaufspreis (jeweils netto)</t>
  </si>
  <si>
    <t>Handelsspanne in EUR: Verkaufspreis - Einkaufspreis (jeweils netto)</t>
  </si>
  <si>
    <t>7. Färbe die Balken rot ein und verbreitere die Balken.</t>
  </si>
  <si>
    <t>Diagramm 2 Säulen gestapelt (in einer Säule übereinander)</t>
  </si>
  <si>
    <t>Die Reigenfolge der Legende lässt sich auf 2 Arten verändern:</t>
  </si>
  <si>
    <t xml:space="preserve">1. Änderung der Reihenfolge innerhalb der Tabelle </t>
  </si>
  <si>
    <t>2. (besser hier): Daten auswählen =&gt; Legendeneinträge mit "hoch/runter-Tasten" anpassen.</t>
  </si>
  <si>
    <t>Verkaufte Karten</t>
  </si>
  <si>
    <t>Freie Plätze</t>
  </si>
  <si>
    <t>Es ist hilfreich, wenn Beschriftungen in einer Zelle stehen. Eine Verbindung der Zellen E5 und E6, sowie F5 und F6 ist daher sinnvoll!</t>
  </si>
  <si>
    <t>EK-Rentabilität</t>
  </si>
  <si>
    <t>Umsatz-Rentabilität</t>
  </si>
  <si>
    <t>Veränderungen der Quoten zum Vorjahr</t>
  </si>
  <si>
    <t>Evtl. müssen unter "Daten auswählen" Spalte und Zeile getauscht werden!</t>
  </si>
  <si>
    <t>% kumuliert</t>
  </si>
  <si>
    <t>Lösungshinweis:</t>
  </si>
  <si>
    <t>Kosten Fremdbezug</t>
  </si>
  <si>
    <t>Kosten Eigenfertigung</t>
  </si>
  <si>
    <t>je Stück</t>
  </si>
  <si>
    <t>Zwischen Spalte1 und 2, sowie zwischen 3 und 4 verläuft vertikal eine "fette" Linie.</t>
  </si>
  <si>
    <t>5. Formatierung der Achsenbeschriftungen mit Tausender-Trennzeichen, EUR-Beträge mit €-Zeichen, keine Nachkommastellen.</t>
  </si>
  <si>
    <t>Lösung mit SVERWEIS (Zelle C15 - kopierbar nach unten)</t>
  </si>
  <si>
    <t>Lösung mit verschachtelter WENN-Funktion (Zelle C15 - kopierbar nach unten)</t>
  </si>
  <si>
    <t>Vergleiche die Kosten für eine 1-jährige befristete Neueinstellung mit der Alternative Personalleasing (für ein Jahr).</t>
  </si>
  <si>
    <t>Option 1: befristete Neueinstellung</t>
  </si>
  <si>
    <t>Option 2: Personalleasing/Zeitarbeit</t>
  </si>
  <si>
    <t>Bruttogehalt p.a.</t>
  </si>
  <si>
    <t>Summe brutto</t>
  </si>
  <si>
    <t>Rentenversicherung - AG</t>
  </si>
  <si>
    <t>Arbeitslosenversicherung - AG</t>
  </si>
  <si>
    <t>Pflegeversicherung - AG</t>
  </si>
  <si>
    <t>Krankenversicherung - AG</t>
  </si>
  <si>
    <t>Kosten Personalbeschaffung (einmalig)</t>
  </si>
  <si>
    <t>Kosten gesamt:</t>
  </si>
  <si>
    <t>Option 2: Personalleasing</t>
  </si>
  <si>
    <t>Arbeitsstunden p.a.</t>
  </si>
  <si>
    <t>Kosten je Arbeitsstunde</t>
  </si>
  <si>
    <t>2. Bis zu welchem max. Stundensatz wäre Option 2 günstiger?</t>
  </si>
  <si>
    <t>3. Wie hoch dürfte das Bruttogehalt (volle EUR) maximal betragen, dass Option 1 günstiger ist?</t>
  </si>
  <si>
    <t>Berechnungshinweise:</t>
  </si>
  <si>
    <t>Die Verzinsung bezieht sich auf das Kapital</t>
  </si>
  <si>
    <t>Der Gesamtgewinn setzt sich zusammen aus Kapitalverzinsung und Restgewinn.</t>
  </si>
  <si>
    <t>Summen:</t>
  </si>
  <si>
    <t xml:space="preserve">Drehe das Kreisdiagramm so, dass die Beschriftung nah am Kreis erfolgt. </t>
  </si>
  <si>
    <t>Werte, die im Kreis stehen, bitte "rausziehen".</t>
  </si>
  <si>
    <t>1. Fülle die Spalte C mit Hilfe einer kopierbaren Funktion.</t>
  </si>
  <si>
    <t>2. Berechne die Höhe der Provision je Mitarbeiter.</t>
  </si>
  <si>
    <t>3. Formatiere die EUR-Beträge als "Währung" mit €-Symbol.</t>
  </si>
  <si>
    <t>4. Füge eine Zeile ein, welche die Umsätze und die Provisionen der Außendienstmitarbeiter aufaddiert. Format fett.</t>
  </si>
  <si>
    <t>niedrig</t>
  </si>
  <si>
    <t>normal</t>
  </si>
  <si>
    <t>erhöht</t>
  </si>
  <si>
    <t>deutlich erhöht</t>
  </si>
  <si>
    <t>5. Lösche die Vorlage (das Bild).</t>
  </si>
  <si>
    <t>4. Füge an geeigneter Stelle eine Spalte ein, welche die Fehlerquote in % (eine Nachkommastelle) ausweist. Die Fehlerquote bezieht die "fehlerhaften 
    Stücke" auf die "Fertigungsmenge".</t>
  </si>
  <si>
    <t>2. Formatierung der Spaltenüberschriften: hellblauer Hintergrund, Zeilenhöhe 30, Texte horizontal und vertikal zentriert. In der 
    Überschrift der Spalte D und E ist ein Zeilenumbruch einzufügen, so dass die Klammer in der 2. Zeile steht.</t>
  </si>
  <si>
    <t>6. Überprüfe mit Hilfe einer geeigneten Funktion in Spalte I, ob der Lagerbestand ausreichend ist. Es sind 2 Meldungen möglich: "Auf 
    Lager" oder "Bestellung!!!"</t>
  </si>
  <si>
    <t>1. Füge die Zeilen Gesamteinnahmen, Gesamtausgaben, sowie den Saldo (Differenz aus 
    Einnahmen und Ausgaben) je Monat an geeigneter Stelle ein. 
   (Füge dazu zusätzliche Zeilen ein).</t>
  </si>
  <si>
    <t>2. Ergänze eine Spalte mit dem Durchschnitt der drei Monate. Ergänze eine zusätzliche 
    Spalte, welche den Durchschnitt auf ein Jahr hochrechnet.</t>
  </si>
  <si>
    <t>3. Formatiere alle Geldwerte mit €-Zeichen und mit 2 Nachkommastellen, alle Prozentwerte 
    mit %-Zeichen.</t>
  </si>
  <si>
    <t>2. Formatiere Vertreternamen fett und kursiv - ebenso die Summen und die zugehörigen 
     Überschriften.</t>
  </si>
  <si>
    <t>1. Ergänze die Tabelle um eine Summenzeile und eine Summenspalte, in der der Gesamtumsatz 
     für jedes Jahr und der Gesamtumsatz jedes Vertreters errechnet wird.</t>
  </si>
  <si>
    <t>7. Skaliere die Y-Achse mit dem Minimum 5.000, dem Maximum 8.000 und 250 
     als Hauptintervall.</t>
  </si>
  <si>
    <t>1. Berechne in der Spalte D die Kosten je Azubi.</t>
  </si>
  <si>
    <t>2. Formatiere alle EUR-Beträge mit €-Symbol und 2 Nachkommastellen.</t>
  </si>
  <si>
    <t>1. Berechne die Handelsspanne in EUR und %. Füge dafür zwei neue Spalte hinter 
     VK netto ein (Berechnungshinweis - siehe Anmerkungen).</t>
  </si>
  <si>
    <t>3. Formatiere alle Geldbeträge mit €-Zeichen und 2 Nachkommastellen, die 
     Handelsspanne in % mit einer Nachkommastelle.</t>
  </si>
  <si>
    <t>Kosten der Ausbildung im Vergleich</t>
  </si>
  <si>
    <t>8. Formatiere die Achsenbeschriftungen in Arial, 8pt.</t>
  </si>
  <si>
    <t>Y-Achse auswählen =&gt; rechter Mausklick =&gt;  Achse formatieren =&gt; Achsenoptionen (evtl. abhängig von Office-Version)</t>
  </si>
  <si>
    <t>4. Formatiere alle Zahlen mit €-Symbol und 2 Nachkommastellen. Alle Werte in Arial 10pt.</t>
  </si>
  <si>
    <t>5. Erstelle folgende Diagramme (rechts neben der Tabelle - untereinander):</t>
  </si>
  <si>
    <t>Liniendiagramm (Umsätze der Handelsvertreter im Zeitablauf)</t>
  </si>
  <si>
    <t>Beschriftung der Y-Achse mit 1.000er-Trennzeichen, und ohne Nachkommastellen. Y-Achsenbeschriftung "in EUR".</t>
  </si>
  <si>
    <t>Beschriftung der Y-Achse mit 1.000er-Trennzeichen, und ohne Nachkommastellen. 
Y-Achsenbeschriftung "in EUR".</t>
  </si>
  <si>
    <t>3. Füge eine Gitternetzlinie über die gesamte Tabelle ein.</t>
  </si>
  <si>
    <t>Lohnliste unserer Mitarbeiter - aktueller Monat</t>
  </si>
  <si>
    <t xml:space="preserve"> Achte darauf, dass bei den Überschriften die "Klammer" jeweils in der 2. Zeile steht - wie in Spalte "H".</t>
  </si>
  <si>
    <t xml:space="preserve">  Achte darauf, dass bei den Überschriften die "Klammer" jeweils in der 2. Zeile steht - wie in Spalte "H".</t>
  </si>
  <si>
    <t>3. Berechne den Überstundenlohn in EUR (Spalte E). Überstundenzuschlag (variabel!) siehe Zelle G35!</t>
  </si>
  <si>
    <t>4. Annahme: ein Monat hat genau 4 Arbeitswochen. Fülle die Spalten D, G und H mit geeigneten Formeln aus.</t>
  </si>
  <si>
    <t>Angebotsvergleich - quantitativ und qualitativ (Nutzwertanalyse)</t>
  </si>
  <si>
    <t>Qualitativer Angebotsvergleich (Nutzwertanalyse)</t>
  </si>
  <si>
    <t>Quantitativer Angebotsvergleich (Preisvergleich)</t>
  </si>
  <si>
    <t xml:space="preserve">2. Formatiere die Werte mit €-Symbol und 2 Nachkommastellen, sowie die gesamte Tabelle in Arial 10pt. </t>
  </si>
  <si>
    <t>Das "$-Zeichen" nur vor dem "B" in Zelle D24 erlaubt es die Formel sowohl nach unten zu kopieren,</t>
  </si>
  <si>
    <t>als auch in die Spalte "F".</t>
  </si>
  <si>
    <t>Hinweise:</t>
  </si>
  <si>
    <t>Das "durch 100-Teilen" bei den gewichteten Punkten ist nicht unbedingt notwendig.</t>
  </si>
  <si>
    <t>1. Ermittle die Summe je Kostenart über die angegebenen Jahre.</t>
  </si>
  <si>
    <t>Rohstoffverbrauch</t>
  </si>
  <si>
    <t>Werbeaufwand</t>
  </si>
  <si>
    <t>Energiekosten</t>
  </si>
  <si>
    <t>Abschreibung Sachanlagen</t>
  </si>
  <si>
    <t>Mietaufwand</t>
  </si>
  <si>
    <t>5. Berechne in einer neuen Zeile den prozentualen Rohstoffverbrauch am jährlichen Gesamtaufwand.</t>
  </si>
  <si>
    <t>Anteil Rohstoffverbrauch</t>
  </si>
  <si>
    <t>8. Formatiere die Kostenarten in fett, Arial 11 pt., rechtsbündig</t>
  </si>
  <si>
    <t>Überblick über die Entwicklung der Kosten - nach Kostenart</t>
  </si>
  <si>
    <t>Angebotsvergleich - quantitativ (Bezugspreisvergleich)</t>
  </si>
  <si>
    <t>bis 50 Stück</t>
  </si>
  <si>
    <t>bis 75 Stück</t>
  </si>
  <si>
    <t>2. Berechne die Bezugspreise gesamt und je Stück. Verwende für den Rabatt eine Funktion, 
    welche prüft, ob die Bestellmenge für einen Rabatt ausreicht.</t>
  </si>
  <si>
    <t>1. Übertrage das Kalkulationsschema der Bezugspreiskalkulation unter Berücksichtigung 
    der vorgegebenen Formatierungen. Blaue Felder sind Eingabefelder (d.h. die Werte in der
    Bezugspreiskalkulation müssen mit obiger Tabelle verlinkt werden).</t>
  </si>
  <si>
    <t>Angebot 1</t>
  </si>
  <si>
    <t>Angebot 2</t>
  </si>
  <si>
    <t>pauschale Lieferkosten (zusätzlich)</t>
  </si>
  <si>
    <t>Frachtkosten je Stück</t>
  </si>
  <si>
    <t>Angebotspreis (je Stück)</t>
  </si>
  <si>
    <t>4. Formatiere die Bezugspreise gesamt und je Stück fett (Text und Zahl).</t>
  </si>
  <si>
    <t xml:space="preserve">                                              'Platz für die Bezugspreiskalkulation!!!</t>
  </si>
  <si>
    <t>6. Richte die Seite so ein, dass die gesamte Aufgabe vollständig auf einer Seite (Hochformat)
   ausgedruckt werden kann.</t>
  </si>
  <si>
    <t>kannst Du B21:C29 einfach kopieren, um das Angebot 2 zu berechnen.</t>
  </si>
  <si>
    <t>Bekleidung</t>
  </si>
  <si>
    <t>Freizeit</t>
  </si>
  <si>
    <t>Eingefügte Zeilen (Aufgabe 1) mit hellblauer Schattierung und Gitternetzlinien. Saldo fett.</t>
  </si>
  <si>
    <t>Tabellenüberschrift und Spaltenmonate in Arial 10 pt und fett.</t>
  </si>
  <si>
    <t>Durschnitt</t>
  </si>
  <si>
    <t>je Monat</t>
  </si>
  <si>
    <t>auf 1 Jahr</t>
  </si>
  <si>
    <t>Gesamteinnahmen</t>
  </si>
  <si>
    <t>Gesamtausgaben</t>
  </si>
  <si>
    <t>Saldo</t>
  </si>
  <si>
    <t>1. Füge die Zeilen Gesamteinnahmen, Gesamtausgaben, sowie den Saldo (Differenz aus 
    Einnahmen und Ausgaben) je Monat an geeigneter Stelle ein. 
   (Füge dazu 3 zusätzliche Zeilen unterhalb der Tabelle ein).</t>
  </si>
  <si>
    <t>Entwicklung der Ausgaben für Investitionen - nach Bereichen</t>
  </si>
  <si>
    <t>technische Anlagen</t>
  </si>
  <si>
    <t>PC/Server/Laptops</t>
  </si>
  <si>
    <t>Fortbildung Mitarbeiter</t>
  </si>
  <si>
    <t>Die Überschrift in Calibri 16 pt, fett. Investitionsbereiche fett.</t>
  </si>
  <si>
    <t>Füge eine aussagefähige Überschrift ein. Beschriftung außerhalb des Kreises (Prozent und Investitionsbereich)!</t>
  </si>
  <si>
    <t>2. Formatierung der Spaltenüberschriften: hellblauer Hintergrund, Zeilenhöhe 30, Texte horizontal und vertikal zentriert. 
In der Überschrift der Spalte D und E ist ein Zeilenumbruch einzufügen, so dass die Klammer in der 2. Zeile steht.</t>
  </si>
  <si>
    <r>
      <rPr>
        <b/>
        <u/>
        <sz val="11"/>
        <color theme="1"/>
        <rFont val="Calibri"/>
        <family val="2"/>
        <scheme val="minor"/>
      </rPr>
      <t>Hinweis:</t>
    </r>
    <r>
      <rPr>
        <sz val="11"/>
        <color theme="1"/>
        <rFont val="Calibri"/>
        <family val="2"/>
        <scheme val="minor"/>
      </rPr>
      <t xml:space="preserve"> ANSICHT =&gt; Fenster fixieren (zuvor Zeile 6 markieren)</t>
    </r>
  </si>
  <si>
    <t>Berechnung von Akkord- und Prämienlohn</t>
  </si>
  <si>
    <t>1. Berechne die Werte für die Spalte E und F mithilfe einer kopierfähigen WENN-Funktion.</t>
  </si>
  <si>
    <t>2. Berechne die Werte für die Spalte G und H. Spalte H ist mit Hilfe der RANG-Funktion zu lösen.</t>
  </si>
  <si>
    <t>3. Ergänze in Zeile 23 eine Zeile, in der die Summe der Spalte berechnet wird - soweit sinnvoll! Mit Gitternetzlinie - Zahlenformat sinnvoll anpassen!</t>
  </si>
  <si>
    <t>5. Formatiere alle EUR-Werte mit €-Zeichen und 2 Nachkommastellen, zentriert. Die Überschriften in Arial 10pt.</t>
  </si>
  <si>
    <t>1. Säulendiagramm: Fehlerquote für jeden Mitarbeiter.</t>
  </si>
  <si>
    <t>2. Säulendiagramm: Gesamtlohn für jeden Mitarbeiter; breite grüne Säulen, Y-Achse entfernt, Hilfslinien Y-Achse entfernt, Werte anzeigen lassen.</t>
  </si>
  <si>
    <t>Mitarbeiter</t>
  </si>
  <si>
    <t>"Beauty Youth"</t>
  </si>
  <si>
    <t>"Musk Bottled"</t>
  </si>
  <si>
    <t>"Homme Classique"</t>
  </si>
  <si>
    <t>"Flower"</t>
  </si>
  <si>
    <t>"Roses"</t>
  </si>
  <si>
    <t>"Cool Lemon"</t>
  </si>
  <si>
    <t>"THE ONE"</t>
  </si>
  <si>
    <t>"Parfum de Paris"</t>
  </si>
  <si>
    <t>2. Ergänze die Tabelle in den Zeilen 15 - 17 um die folgenden Werte: größter Wert, kleinster Wert, 
     Durchschnitt. Füge dafür 3 Zeilen ein unterhalb der Tabelle ein. Werte in den Zeilen fett, kursiv.</t>
  </si>
  <si>
    <t>4. Füge Zellen links von der Tabelle ein (rechtsverschiebung der Tabelle), verbinde die Zellen A7 
     bis A14 und füge das Wort "Düfte" ein - um 90 Grad gedreht, fett, horizontal 
     und vertikal zentriert.</t>
  </si>
  <si>
    <t>5. Zentriere die Spaltenüberschriften, formatiere diese fett, Arial 10pt mit 
     grauem Hintergrund.</t>
  </si>
  <si>
    <t>Berechnung der Handelsspannen in EUR und % - Düfte</t>
  </si>
  <si>
    <t>Werte in der Tabelle sortieren, um die Reihenfolge der Balken anzupassen.</t>
  </si>
  <si>
    <t>Zeile 15 auswählen, 3x STRG + (fügt 3 neue Zeilen ein)</t>
  </si>
  <si>
    <t>Spalte D auswählen, STRG + (fügt neue Spalte vor Spalte D ein.)</t>
  </si>
  <si>
    <t>"Cool Summer"</t>
  </si>
  <si>
    <t>Düfte</t>
  </si>
  <si>
    <t>Handelsspanne</t>
  </si>
  <si>
    <t>6. Erstelle ein Balkendiagramm (rechts der Tabelle) ohne Legende, welches die Handelsspannen 
     in EUR der verschiedenen Parfüms darstellt. Die Handelsspannen sollen 
     dabei absteigend sortiert werden. Füge eine aussagefähige Überschrift ein.</t>
  </si>
  <si>
    <t>Datenreihen formatieren =&gt; Abstandsbreite verringern.</t>
  </si>
  <si>
    <t>8. Richte die Seite so ein, dass Tabelle und Diagramm auf einer Seite gedruckt 
     werden können (Querformat, ggfs. skaliert für bessere Lesbarkeit).</t>
  </si>
  <si>
    <t>Über "Seitenansicht" =&gt; Seite einrichten</t>
  </si>
  <si>
    <t>5. Stelle die ermittelten Quoten mit %-Zeichen und einer Nachkommastelle dar.</t>
  </si>
  <si>
    <t>Inventar  zum 31.12.20XX</t>
  </si>
  <si>
    <t>Inventar zum 31.12.20XX</t>
  </si>
  <si>
    <t>Absatz- und Umsatzzahlen nach Produkten</t>
  </si>
  <si>
    <t>2. Ermittle in einer neuen Spalte den Halbjahres-Umsatz je Produkt. Bilde die Summen in Zeile 11.</t>
  </si>
  <si>
    <t>Diagramm 1</t>
  </si>
  <si>
    <t>Diagramm 2</t>
  </si>
  <si>
    <t>MagiColour</t>
  </si>
  <si>
    <t>TrueGreen</t>
  </si>
  <si>
    <t>Boston</t>
  </si>
  <si>
    <t>3. Ermittle an geeigneter Stelle die Prozentanteile je Produkt am Gesamtumsatz. 
    Formatierung mit %-Zeichen und 2 Nachkommastellen.</t>
  </si>
  <si>
    <t>5. Erstelle 2 Säulendiagramme mit geeigneter Überschrift, welche die Prozentwerte der Produkte am 
    Gesamtumsatz in geeigneter Weise darstellen. Legende oberhalb des Diagramms. Werte in Säule anzeigen lassen.</t>
  </si>
  <si>
    <t>1. Ermittle für jede Abteilung die durchschnittliche monatliche Überstundenzahl, 
    sowie die Überstunden des Unternehmens für jeden Monat. Benenne die Zeilen 
    und Spalten sinnvoll.</t>
  </si>
  <si>
    <t>3. Liniendiagramm für die Überstunden je Abteilung für die Monate Januar bis Dezember 
    mit geeigneter Überschrift und Achsentiteln. Die Legende steht rechts. Die Reihenfolge 
    innerhalb der Legende entspricht der Reihenfolge der Linien im Dezember 
    (also Rechnungswesen ganz oben, Personal ganz unten etc.). 
    Für die Y-Achse sind Haupt- und Hilfslinien anzuzeigen.</t>
  </si>
  <si>
    <t>2. Formatierungen: Füge ein Gitternetz für die gesamte Tabelle ein. Lege einen fetten 
    Rahmen um die gesamte Tabelle. Zentriere alle Zahlen und Spaltenüberschriften. 
    Formatiere die Spaltenüberschriften in Arial 10 pt. Achte auf Lesbarkeit (Spaltenbreite).
    Berechnete Zahle sind fett und kursiv darzustellen.</t>
  </si>
  <si>
    <t>Verwaltung</t>
  </si>
  <si>
    <t>Diagramm hier einfügen</t>
  </si>
  <si>
    <t>Violinkonzert Nr.3 in A-Moll</t>
  </si>
  <si>
    <t>Cellistin Gabi Streich</t>
  </si>
  <si>
    <t>Bluestime</t>
  </si>
  <si>
    <t>Jazz Legends</t>
  </si>
  <si>
    <t>Musical "Dracula"</t>
  </si>
  <si>
    <t>(wenn diese im Diagramm verlinkt sind; alternativ manuelle Beschriftung).</t>
  </si>
  <si>
    <t>5. Erstelle ein Kreisdiagramm, welches das Verhältnis der Gesamtsumme der verkauften Karten zu der 
    Gesamtsumme der freien Plätze darstellt mit der Legende unten und einer aussagefähigen Überschrift.</t>
  </si>
  <si>
    <t>3. Formatiere alle EUR-Beträge mit €-Zeichen und 2 Nachkommastellen. Alle anderen Zahlen mit 
    Tausender-Trennzeichen.</t>
  </si>
  <si>
    <t>Diagramm einfügen</t>
  </si>
  <si>
    <t>4. Formatiere die Prozentzahlen mit %-Zeichen und einer Nachkommastelle.</t>
  </si>
  <si>
    <t>2. Berechne die relative Veränderung der 3 o.g. Quoten zum Vorjahr 
    (füge die Informationen unterhalb der Tabelle ein).</t>
  </si>
  <si>
    <t>5. Formatiere die Spaltenüberschriften fett, kursiv und unterstrichen in Arial 12 pt; horizontal und 
    vertikal zentriert; Zeilenhöhe 30 (Zeile 4). Füge für die Überschriften einen Zeilenumbruch ein.</t>
  </si>
  <si>
    <t>6. Lege über die Tabelle ein Gitternetz, färbe die Daten in Spalte A wie folgt: Hintergrund: hellblau, 
    Schriftfarbe: rot und fett.</t>
  </si>
  <si>
    <t>7. Erstelle ein gruppiertes Säulendiagramm mit den aktuellen Werten und den Vorjahreswerten 
    zur EK-Rentabilität und Umsatz-Rentabilität.</t>
  </si>
  <si>
    <t>8. Richte die Seite so ein, dass die gesamte Aufgabe (Tabelle und Diagramm) auf eine 
    Seite gedruckt werden kann.</t>
  </si>
  <si>
    <t>1. Berechne für das aktuelle Jahr und das Vorjahr die folgenden Kennzahlen: EK-Rentabilität, 
    EK-Quote und die Umsatz-Rentabilität (füge die Informationen unterhalb der Tabelle ein).</t>
  </si>
  <si>
    <t>9. Erstelle mit den Umsätzen (inkl. der Summe je Filiale) ein gestapeltes 3D-Säulendiagramm, 
    welches den Anteil der Filialen am Umsatz zeigt. Legende rechts.</t>
  </si>
  <si>
    <t>7. Vervollständige das Gitternetz der Tabelle. Füge zusätzlich einen fetten Rahmen um die Tabelle herum.</t>
  </si>
  <si>
    <t>6. Füge eine Zeile ein für die Berechnung des Quartalanteils am Jahresumsatz (kopierbare Formel!).</t>
  </si>
  <si>
    <t>5. Erweitere die Tabelle um je eine Spalte für die Berechnung des durchschnittlichen Umsatzes, des höchsten 
    und des geringsten Umsatzes je Filiale.</t>
  </si>
  <si>
    <t>Anteil am Jahresumsatz</t>
  </si>
  <si>
    <t>Veränderung in %</t>
  </si>
  <si>
    <t>MAX</t>
  </si>
  <si>
    <t>MIN</t>
  </si>
  <si>
    <t>Filialumsätze je Quartal</t>
  </si>
  <si>
    <t>3. In der Zeile "Bewertung" soll folgender Text angezeigt werden: Bei einem Bezugspreis 
    über 200 EUR = "teuer", bei einem Bezugspreis kleiner oder gleich 200 EUR = "günstig".</t>
  </si>
  <si>
    <t>2. Formatiere das Kalkulationsschema fett, die Spaltenüberschriften fett und kursiv, 
    EUR-Werte mit €-Zeichen und 2 Nachkommastellen.</t>
  </si>
  <si>
    <t>1. Vervollständige die Tabelle mit den obigen Werten und berechne alle fehlenden 
    Informationen mit Hilfe geeigneter Formeln.</t>
  </si>
  <si>
    <t>Unternehmen E:</t>
  </si>
  <si>
    <t>Unternehmen D:</t>
  </si>
  <si>
    <t>Unternehmen C:</t>
  </si>
  <si>
    <t>Unternehmen B:</t>
  </si>
  <si>
    <t>Angebotsvergleich (Bezugspreisvergleich)</t>
  </si>
  <si>
    <t>Wert insgesamt</t>
  </si>
  <si>
    <t>ABC-Analyse unserer Handelswaren</t>
  </si>
  <si>
    <t>6. Kategorisiere die Artikel in A-, B- oder C-Güter. Der kumulierte Wertanteil der A-Güter macht bis zu 80% 
    des Einkaufsvolumens aus. Für C-Güter liegt der Wertanteil unter 5%.</t>
  </si>
  <si>
    <t>2. Berechne die Summe der Spalten E und F.</t>
  </si>
  <si>
    <t>3. Berechne die fehlenden Werte in Spalte G und ergänze die Summe. Werte in %, eine Dezimale.</t>
  </si>
  <si>
    <t>5. Füge zwischen Spalte G und H eine neue Spalte ein und ermittle dort die kumulativen %-Werte. Eine Dezimale.</t>
  </si>
  <si>
    <t xml:space="preserve"> Die Spalte I kann "manuell" eingegeben werden. Die Lösung mit der verschachtelten WENN-Funktion ist jedoch eleganter.</t>
  </si>
  <si>
    <t>Eigenfertigung oder Fremdbezug - Make or Buy</t>
  </si>
  <si>
    <t>1. Erstelle unter obiger Tabelle eine Tabelle mit 5 Spalten. Füge 13 Zeilen ein.</t>
  </si>
  <si>
    <t>zusätzliche 
Fixkosten:</t>
  </si>
  <si>
    <t>Die Überschriften der 5 Spalten sind in Arial 11 pt, fett zu formatieren.</t>
  </si>
  <si>
    <t>Füge für den Zahlenbereich ein Gitternetz ein. Zentriere alle Werte.</t>
  </si>
  <si>
    <t xml:space="preserve"> Doppelter Rahmen um die Tabelle geht nur über: Tabelle markieren, rechter Mausklick =&gt; Zelle formatieren</t>
  </si>
  <si>
    <t>Dann "Rahmen" auswählen =&gt; Doppellinie auswählen =&gt; Ränder der "Beispieltabelle anklicken"</t>
  </si>
  <si>
    <t>Diese erhalten dann den doppelten Rahmen - die inneren Linien bleiben einfach.</t>
  </si>
  <si>
    <t>Spalte 1: Menge: Beginne bei 1.000 und gehe in 1.000er Schritten bis 10.000. Zahlen mit 1.000er-Trennzeichen.</t>
  </si>
  <si>
    <t>6. Achsentitel einfügen, Hauptgitternetz der X-Achse einfügen.</t>
  </si>
  <si>
    <t>Die Begriffe "Kosten Fremdbezug" und "Kosten Eigenfertigung" sind als zentrierte Überschriften 
über die Spalten 2+3 bzw. 4+5 zu formatieren.</t>
  </si>
  <si>
    <t>2. Erstelle ein Kreisdiagramm, welches ab den Selbstkosten den Gewinn, das Kundenskonto, die 
    Vertreterprovision, den Kundenrabatt als Bestandteile des Nettoverkaufspreises in % darstellt.</t>
  </si>
  <si>
    <t>3. Zeige die Prozentwerte am Kreis direkt an (außerhalb). Legende rechts. Erstelle zudem eine 
    aussagefähige Überschrift.</t>
  </si>
  <si>
    <t>4. Hebe den "Gewinn" hervor, durch Absetzung vom Kreisdiagramm.</t>
  </si>
  <si>
    <t>Den Gewinn hervorheben geht am einfachsten, indem man den Sektor Gewinn einmal anklickt, dann nochmal anklickt (mit etwas zeitlichem Abstand).</t>
  </si>
  <si>
    <t>Jetzt ist nur noch dieser Sektor markiert. Per Maus kann der Sektor jetzt verschoben werden.</t>
  </si>
  <si>
    <t>Das "+" in der Legende bei Gewinn, etc. kann vermieden werden, wenn man die Daten direkt eingibt, statt diese aus der Tabelle</t>
  </si>
  <si>
    <t>zu beziehen - das ist aber etwas kompliziert und wird nur für Fortgeschrittene empfohlen.</t>
  </si>
  <si>
    <t>Das Problem lässt sich umgehen, inden man die 5 Begriffe untereinander schreibt und die Beschriftung aus der neuen Liste bezieht.</t>
  </si>
  <si>
    <t>Kundenskonto</t>
  </si>
  <si>
    <t>Vertreterprovision</t>
  </si>
  <si>
    <t>Kundenrabatt</t>
  </si>
  <si>
    <t>Ermittlung der optimalen Bestellmenge</t>
  </si>
  <si>
    <t>VE = Verpackungseinheit</t>
  </si>
  <si>
    <t>Lagerhaltungskosten pro Jahr</t>
  </si>
  <si>
    <t>Bestellkosten  
pro Jahr</t>
  </si>
  <si>
    <t>Beschaffungskosten 
pro Jahr</t>
  </si>
  <si>
    <t>x</t>
  </si>
  <si>
    <t>Vervollständige die Tabelle. Für die Kalkulation sind folgende Daten zu berücksichtigen:</t>
  </si>
  <si>
    <t>Für Lösung mit SVERWEIS bzw. verschachtelter WENN-Funktion</t>
  </si>
  <si>
    <t>27,47 EUR</t>
  </si>
  <si>
    <t>Hinweis: Wert in B20 kann "probiert werden", bis das Ergebnis passt (also E36 &lt; B42 wird).</t>
  </si>
  <si>
    <t>3.447 EUR</t>
  </si>
  <si>
    <t>Hinweis: Wert in B8 kann "probiert werden", bis das Ergebnis passt (volle EUR!).</t>
  </si>
  <si>
    <t>Gewinnverteilung in einer Kommanditgesellschaft (KG)</t>
  </si>
  <si>
    <t>6. Erstelle ein Kreisdiagramm, welche den Gesamtgewinn je Gesellschafter in Prozent und EUR darstellt. 
    Die Beschriftung soll am Kreis direkt erfolgen. Eine Legende ist nicht notwendig. 
    Bitte wähle eine aussagefähige Überschrift für das Diagramm.</t>
  </si>
  <si>
    <t>Der Restgewinn (gesamt) errechnet sich aus dem Gesamtgewinn abzüglich der Kapitalverzinsung. Verteilung Restgewinn gem. Spalte E.</t>
  </si>
  <si>
    <t>x = Berechnungshinweise einblenden</t>
  </si>
  <si>
    <t>Provisionsberechnung unserer Außendienstmitarbeiter</t>
  </si>
  <si>
    <t>5. Sortiere die Tabelle nach Provisionshöhe - aufsteigend.</t>
  </si>
  <si>
    <t>7. Färbe die Balken grün und verbreitere die Balken (bzw. reduziere den Abstand zwischen den Balken). 
     EUR-Werte ohne Nachkommastellen.</t>
  </si>
  <si>
    <t>8. Formatiere die Tabellen "Provisionabrechnung" und "Provisionstabelle" mit Gitternetz, zentrierten Zahlen und 
     Überschriften, Überschriften zusätzlich fett. Überschrift "Provisionstabelle" zentriert über Spalte F und G.</t>
  </si>
  <si>
    <t>1. Fülle die Spalte C mit Hilfe einer kopierbaren Funktion (SVERWEIS).</t>
  </si>
  <si>
    <t>Probleme?</t>
  </si>
  <si>
    <t>x = Lösung anzeigen</t>
  </si>
  <si>
    <t>=(F6-F5)/(C6-C5)</t>
  </si>
  <si>
    <t>Veränderung Kosten / Veränderung Stückzahl</t>
  </si>
  <si>
    <t>1. Zentriere die Tabellenüberschrift in Calibri 14 pt., fett, kursiv. (Spalte A bis F)</t>
  </si>
  <si>
    <t>4. Zentriere alle Spaltenüberschriften und formatiere diese fett. Hinterlege die Zellen 
     in hellblau. Lege ein Gitternetz über die gesamte Tabelle.</t>
  </si>
  <si>
    <t>5. Erstelle ein Liniendiagramm, welches die Erlöse und die Gesamtkosten darstellt. 
     Achte bei der Legende (rechte Seite) darauf, dass die Erlöse oben stehen.</t>
  </si>
  <si>
    <t>6. Füge einen Diagrammtitel ein, stelle die Achsenwerte ohne €-Zeichen und ohne 
     Nachkommastellen, aber mit Tausender-Trennzeichen.</t>
  </si>
  <si>
    <t xml:space="preserve">7. Füge geeignete Achsentitel ein und für die X-Achse ein Hauptgitternetz ein. </t>
  </si>
  <si>
    <t>8. Berechne den genauen break-even-point! (Lösung unter dem Diagramm)</t>
  </si>
  <si>
    <t>Berechnung break-even-point:</t>
  </si>
  <si>
    <t>Fixkosten</t>
  </si>
  <si>
    <t>Umsatzerlöse = Fixkosten + variable Kosten</t>
  </si>
  <si>
    <t>kv</t>
  </si>
  <si>
    <t>e*X = Fixkosten + kv*X</t>
  </si>
  <si>
    <t>e</t>
  </si>
  <si>
    <t xml:space="preserve">X = </t>
  </si>
  <si>
    <t>bzw.</t>
  </si>
  <si>
    <t>Fällig seit … Tagen</t>
  </si>
  <si>
    <r>
      <rPr>
        <b/>
        <sz val="11"/>
        <color theme="1"/>
        <rFont val="Calibri"/>
        <family val="2"/>
        <scheme val="minor"/>
      </rPr>
      <t>Hinweis:</t>
    </r>
    <r>
      <rPr>
        <sz val="11"/>
        <color theme="1"/>
        <rFont val="Calibri"/>
        <family val="2"/>
        <scheme val="minor"/>
      </rPr>
      <t xml:space="preserve"> </t>
    </r>
  </si>
  <si>
    <t>Wenn Du die Verzugszinsen nicht in einem Schritt berechnen kannst, füge eine Hilfsspalte mit dem Verzugszinssatz in % ein. Danach sollte es leichter gehen.</t>
  </si>
  <si>
    <t>Kaufmännisch rechnen wir üblicherweise mit 360 Tagen pro Jahr.</t>
  </si>
  <si>
    <t>Überblick über die Fehlzeiten der Mitarbeiter</t>
  </si>
  <si>
    <t>2. Bereche für jede Abteilung die durchschnittlichen Fehltage (Spalte E + F). Eine Dezimale.</t>
  </si>
  <si>
    <t xml:space="preserve">3. Erstelle eine extra Tabelle (unterhalb der obigen Tabelle), welche als Basis für einen SVERWEIS-Funktion dienen kann. </t>
  </si>
  <si>
    <t xml:space="preserve">  Folgende Werte sollen der Tabelle entnehmbar sein:</t>
  </si>
  <si>
    <t>Hinweis zum SVERWEIS:</t>
  </si>
  <si>
    <t>Der SVERWEIS hat folgenden Aufbau: SVERWEIS(Suchkriterium;Matrix;Spaltenindex;[Bereich_Verweis])</t>
  </si>
  <si>
    <t>Dieser "Bereich-Verweis" kann mit "richtig" oder "falsch" ausgefüllt werden.</t>
  </si>
  <si>
    <t>Bleibt dieser Teil leer, so wird die Funktion verwendet, als wäre "richtig" eingetragen.</t>
  </si>
  <si>
    <t>Was ändert sich dadurch?</t>
  </si>
  <si>
    <t>Bereichs-Verweis = "falsch": Excel sucht den EXAKTEN Wert</t>
  </si>
  <si>
    <t>Bereichs-Verweis = "richtig" bzw. nicht vorhanden: Excel nimmt den nächsten (VORHERIGEN) Wert</t>
  </si>
  <si>
    <r>
      <rPr>
        <b/>
        <sz val="11"/>
        <color theme="1"/>
        <rFont val="Calibri"/>
        <family val="2"/>
        <scheme val="minor"/>
      </rPr>
      <t>Beispiel</t>
    </r>
    <r>
      <rPr>
        <sz val="11"/>
        <color theme="1"/>
        <rFont val="Calibri"/>
        <family val="2"/>
        <scheme val="minor"/>
      </rPr>
      <t>: Sucht Excel nach 8 Fehltagen, so findet Excel bei Bereichs-Verweis = "falsch" keinen Wert. Es erscheint #n/a.</t>
    </r>
  </si>
  <si>
    <t>Such Excel dagegen mit dem Bereichsverweis = "richtig" bzw. ohne Bereichs-Verweis, so sucht Excel (wenn er die 8 nicht findet)</t>
  </si>
  <si>
    <t>nach dem nächsten vorherigen Wert - Excel wird also die 7 finden und den entsprechenden Wert anzeigen.</t>
  </si>
  <si>
    <t>1. Berechne für jede Abteilung den Anteil an der Gesamtbelegschaft (Spalte C). In %, eine Dezimale.</t>
  </si>
  <si>
    <t>kleinster Wert:</t>
  </si>
  <si>
    <t>größter Wert:</t>
  </si>
  <si>
    <t>Durschnitt:</t>
  </si>
  <si>
    <t>Wachstum zum</t>
  </si>
  <si>
    <t xml:space="preserve"> Vorjahresmonat</t>
  </si>
  <si>
    <t>LÖSUNGEN</t>
  </si>
  <si>
    <t xml:space="preserve">Hinweise: </t>
  </si>
  <si>
    <t>MIN() den kleinsten Wert.</t>
  </si>
  <si>
    <t>MAX ermittelt den größten Wert einer Auswahl.</t>
  </si>
  <si>
    <t>Für die Berechnung des Durchschnitts ist die Funktion MITTELWERT() zu verwenden.</t>
  </si>
  <si>
    <t>SUMME() addiert die ausgewählten Zahlen.</t>
  </si>
  <si>
    <t>2 Möglichkeiten:</t>
  </si>
  <si>
    <t xml:space="preserve">2. Verwendung von: </t>
  </si>
  <si>
    <t>im Reiter "Start".</t>
  </si>
  <si>
    <t xml:space="preserve">Wenn man auf den kleinen Pfeil neben "Autosumme" klickt, erscheinen u.a. die Funktionen SUMME(), MIN(), MAX(), MITTELWERT() </t>
  </si>
  <si>
    <t>Excel schlägt automatisch einen Bereich vor, was gewisse Tücken hat. Probiert das mal im obigen Beispiel aus.</t>
  </si>
  <si>
    <t>SUMME() über die AutoSumme in C20 wird z.B. das Jahr 2016 als Wert einbeziehen. Die Auswahl ist entsprechend anzupassen.</t>
  </si>
  <si>
    <t>MIN() in C21 über die AutoSumme wird ebenfalls die Summe in C20 einschließen - auch hier ist die Auswahl anzupassen,</t>
  </si>
  <si>
    <t>da dies natürlich keinen Sinn macht.</t>
  </si>
  <si>
    <t>1. Schreiben der Funktion über die Tastatur (bevorzugte Variante!!!)</t>
  </si>
  <si>
    <t>Hinweis:</t>
  </si>
  <si>
    <t>Prozentrechnen bereitet immer mal wieder Probleme. Das beginnt bei der Formatierung!</t>
  </si>
  <si>
    <t>In Mathe rechnet man z.B. 1/5 * 100 um 20 Prozent zu erhalten.</t>
  </si>
  <si>
    <t>In Excel machen wir das NICHT. Wir rechnen nur 1/5 und erhalten dann 0,2 als Ergebnis.</t>
  </si>
  <si>
    <t>Wir formatieren dann die Zelle "in Prozent". Dies fügt das "%-Zeichen" hinzu.</t>
  </si>
  <si>
    <t>Wir erhalten dann 20%. Das entspricht ja der Zahl 0,2! Excel stellt dies nur in einer anderen Formatierung dar.</t>
  </si>
  <si>
    <t>SUMME, MAX, MIN, MITTELWERT - und eine Übung in Prozentrechnen.</t>
  </si>
  <si>
    <t>Aufgabe 1 -Fülle die grauen Felder aus. Beginne mit C20-C23! Prozentrechnen kann man separat üben!</t>
  </si>
  <si>
    <t>Aufgabe 1 - SUMME(), MAX(), MIN(), MITTELWERT(), und etwas Prozentrechnen</t>
  </si>
  <si>
    <t>WENN(), ZÄHLENWENN(), SUMMEWENN()</t>
  </si>
  <si>
    <t>Sitzkategorie</t>
  </si>
  <si>
    <t>Dauer (in Min.)</t>
  </si>
  <si>
    <t>Bewertung 1</t>
  </si>
  <si>
    <t>Bewertung 2</t>
  </si>
  <si>
    <t>Bewertung 3</t>
  </si>
  <si>
    <t>Leinwand</t>
  </si>
  <si>
    <t>Wieviele Plätze gibt es in der Kategorie A?</t>
  </si>
  <si>
    <t>?</t>
  </si>
  <si>
    <t>Wieviele Plätze gibt es in der Kategorie B?</t>
  </si>
  <si>
    <t>Wieviele Plätze gibt es in der Kategorie C?</t>
  </si>
  <si>
    <t>Wieviele 1er gibt es in der Tabelle?</t>
  </si>
  <si>
    <t>Wieviele 2er gibt es in der Tabelle?</t>
  </si>
  <si>
    <r>
      <rPr>
        <b/>
        <sz val="11"/>
        <color theme="1"/>
        <rFont val="Calibri"/>
        <family val="2"/>
        <scheme val="minor"/>
      </rPr>
      <t>Bewertung 1:</t>
    </r>
    <r>
      <rPr>
        <sz val="11"/>
        <color theme="1"/>
        <rFont val="Calibri"/>
        <family val="2"/>
        <scheme val="minor"/>
      </rPr>
      <t xml:space="preserve"> Ist der Preis unter 15 EUR, dann erfolgt die Eintragung "günstig", sonst "teuer".</t>
    </r>
  </si>
  <si>
    <r>
      <rPr>
        <b/>
        <sz val="11"/>
        <color theme="1"/>
        <rFont val="Calibri"/>
        <family val="2"/>
        <scheme val="minor"/>
      </rPr>
      <t>Bewertung 2:</t>
    </r>
    <r>
      <rPr>
        <sz val="11"/>
        <color theme="1"/>
        <rFont val="Calibri"/>
        <family val="2"/>
        <scheme val="minor"/>
      </rPr>
      <t xml:space="preserve"> Wenn der Film über 90 Minuten geht, erfolgt die Eintragung "Überlänge", sonst erfolgt keine Eintragung.</t>
    </r>
  </si>
  <si>
    <r>
      <rPr>
        <b/>
        <sz val="11"/>
        <color theme="1"/>
        <rFont val="Calibri"/>
        <family val="2"/>
        <scheme val="minor"/>
      </rPr>
      <t>Bewertung 3:</t>
    </r>
    <r>
      <rPr>
        <sz val="11"/>
        <color theme="1"/>
        <rFont val="Calibri"/>
        <family val="2"/>
        <scheme val="minor"/>
      </rPr>
      <t xml:space="preserve"> Bei Kategorie A erfolgt der Eintrag "LOGE", bei B und C "Parkett".</t>
    </r>
  </si>
  <si>
    <t>Anmerkung:</t>
  </si>
  <si>
    <t>Text in Anführungszeichen zu setzen: WENN(J8="A";"LOGE";"Parkett"). Ebenso sind Anführungszeichen zu setzen,</t>
  </si>
  <si>
    <t>wenn ein Text eingefügt werden soll. Zahlen NIEMALS in Anführungszeichen (das führt zu Fehlern in Berechnungen!!!)</t>
  </si>
  <si>
    <t>Also: WENN(K8&gt;90;"Überlänge";""). Zwei "" ohne Text fügen eine "leere Zelle" ein (ab und an recht nützlich).</t>
  </si>
  <si>
    <t>Wir wollen für eine Werbeaktion Aktionspreise berechnen. Folgende Regel soll dabei gelten:</t>
  </si>
  <si>
    <t>Rabatt</t>
  </si>
  <si>
    <t xml:space="preserve">über </t>
  </si>
  <si>
    <t>bis</t>
  </si>
  <si>
    <t>TV SL98373</t>
  </si>
  <si>
    <t>TV XL39300</t>
  </si>
  <si>
    <t>TV SL33838</t>
  </si>
  <si>
    <t>TV GR28280</t>
  </si>
  <si>
    <t>VK-Preis</t>
  </si>
  <si>
    <t>= Eingabefelder</t>
  </si>
  <si>
    <t>Versandkosten</t>
  </si>
  <si>
    <t>alt</t>
  </si>
  <si>
    <t>neu</t>
  </si>
  <si>
    <t>inkl. Versand</t>
  </si>
  <si>
    <t>Aufgabe 2 - Berechnungen mit der WENN-Funktion (und absoluter Adressierung)</t>
  </si>
  <si>
    <t>Aufgabe 4 - SUMMEWENN()</t>
  </si>
  <si>
    <t>Sinnvolle Funktion, wenn man beispielsweise bestimmte Umsätze addieren möchte.</t>
  </si>
  <si>
    <t>Artikel</t>
  </si>
  <si>
    <t>Apfel rot</t>
  </si>
  <si>
    <t>Orange</t>
  </si>
  <si>
    <t>Zitrone</t>
  </si>
  <si>
    <t>Apfel gelb</t>
  </si>
  <si>
    <t>Birne</t>
  </si>
  <si>
    <t>Verkäufe</t>
  </si>
  <si>
    <t>in Stück</t>
  </si>
  <si>
    <t>Wieviele rote Äpfel haben wir verkauft?</t>
  </si>
  <si>
    <t>Wie hoch war der Umsatz in EUR bei Zitronen?</t>
  </si>
  <si>
    <t>Ändert man den Artikel in obiger Zelle, so passen sich die Verkäufe automatisch an.</t>
  </si>
  <si>
    <t>(auf Rechtschreibung achten!!! Groß- und Kleinschreibung sind grundsätzlich unwichtig)</t>
  </si>
  <si>
    <t>Suche nach einer Zahl (z.B. Artikelnummer) dürfen KEINE Anführungszeichen gesetzt werden.</t>
  </si>
  <si>
    <r>
      <rPr>
        <b/>
        <u/>
        <sz val="11"/>
        <color theme="1"/>
        <rFont val="Calibri"/>
        <family val="2"/>
        <scheme val="minor"/>
      </rPr>
      <t>Auch hier:</t>
    </r>
    <r>
      <rPr>
        <sz val="11"/>
        <color theme="1"/>
        <rFont val="Calibri"/>
        <family val="2"/>
        <scheme val="minor"/>
      </rPr>
      <t xml:space="preserve"> Suche nach einem TEXT (wie z.B. "Birne") sind Anführungszeichen zu setzen.</t>
    </r>
  </si>
  <si>
    <t>Allgemeine Beschreibung der Funktion:</t>
  </si>
  <si>
    <r>
      <t>Suche im Bereich (z.B. B76:B86) nach dem Wert, der aktuell in Zelle B94 steht. Wenn gefunden,</t>
    </r>
    <r>
      <rPr>
        <b/>
        <u/>
        <sz val="11"/>
        <color theme="1"/>
        <rFont val="Calibri"/>
        <family val="2"/>
        <scheme val="minor"/>
      </rPr>
      <t xml:space="preserve"> gehe in der gleichen Zeile</t>
    </r>
    <r>
      <rPr>
        <sz val="11"/>
        <color theme="1"/>
        <rFont val="Calibri"/>
        <family val="2"/>
        <scheme val="minor"/>
      </rPr>
      <t xml:space="preserve"> in die Spalte C bzw. D (Zellbereich C76:C86 bzw. D76:D86) und addiere den dort gefunden Wert auf.</t>
    </r>
  </si>
  <si>
    <t>Art.-Nr.</t>
  </si>
  <si>
    <t>Art.-Bezeichnung</t>
  </si>
  <si>
    <t>Artikel-Datenbank mit Verkaufspreis</t>
  </si>
  <si>
    <t>Brezel</t>
  </si>
  <si>
    <t>Semmel</t>
  </si>
  <si>
    <t>Gurke</t>
  </si>
  <si>
    <t>Milch</t>
  </si>
  <si>
    <t>Kopfsalat</t>
  </si>
  <si>
    <t>Wirsing</t>
  </si>
  <si>
    <t>Brokkoli</t>
  </si>
  <si>
    <t>Karotte (1 kg)</t>
  </si>
  <si>
    <t>Apfel rot (1 kg)</t>
  </si>
  <si>
    <t>Apfel grün (1 kg)</t>
  </si>
  <si>
    <t>SVERWEIS - Übungsaufgaben</t>
  </si>
  <si>
    <t>Die Funktion SVERWEIS benötigt vier verschiedene Informationen</t>
  </si>
  <si>
    <t>=SVERWEIS(Suchkriterium;Matrix;Spaltenindex;Bereich_Verweis)</t>
  </si>
  <si>
    <t>1. Das Suchkriterium</t>
  </si>
  <si>
    <t>2. Die Matrix</t>
  </si>
  <si>
    <t>WICHTIG: Der Nachschlagewert muss IMMER in der ersten Spalte der Matrix stehen.</t>
  </si>
  <si>
    <t>Beispiel: Matrix = "B2:D11", dann sollte der Nachschlagewert in Spalte "B" stehen.</t>
  </si>
  <si>
    <t>3. Spaltenindex</t>
  </si>
  <si>
    <t>Entspricht dem Bereich, in dem sich der Nachschlagewert UND der Rückgabewert befindet.</t>
  </si>
  <si>
    <t>Spaltennummer, welche den Rückgabewert enthält, wobei die erste Spalte mit dem Nachschlagewert bereits zählt.</t>
  </si>
  <si>
    <t xml:space="preserve">Beispiel: Der Rückgabewert befindet sich in Spalte "C", dann ist bei der Matrix "B2:D11" </t>
  </si>
  <si>
    <t>eine 2 (für zweite Spalte) einzugeben.</t>
  </si>
  <si>
    <t>4. Bereich_Verweis</t>
  </si>
  <si>
    <t>Hier kann man WAHR oder FALSCH eingeben, wobei man den Wortsinn ignorieren muss.</t>
  </si>
  <si>
    <t>Beides kann sinnvoll sein:</t>
  </si>
  <si>
    <t>Beispiel für FALSCH (also genaue Übereinstimmung):</t>
  </si>
  <si>
    <t>Suche in der Artikeldatenbank nach einer Artikelnummer und melde mir den Preis zurück.</t>
  </si>
  <si>
    <t>Beispiel für WAHR (also ungefähre Übereinstimmung):</t>
  </si>
  <si>
    <t>Wir möchten den Rabattsatz für unterschiedliche Umsätze aus obiger Tabelle ermitteln:</t>
  </si>
  <si>
    <t>=SVERWEIS(B40;$B$35:$C$36;2;WAHR)</t>
  </si>
  <si>
    <t>Excel unterstellt dann WAHR als Bereich_Verweis</t>
  </si>
  <si>
    <t>Entspricht dem "Nachschlagewert" (z.B. suche die folgende "Artikel-Nummer")</t>
  </si>
  <si>
    <t>Hier würde eine ungefähre Übereinstimmung mit der Artikel-Nummer keinerlei Sinn ergeben.</t>
  </si>
  <si>
    <r>
      <rPr>
        <b/>
        <sz val="11"/>
        <color theme="1"/>
        <rFont val="Calibri"/>
        <family val="2"/>
        <scheme val="minor"/>
      </rPr>
      <t>Merke</t>
    </r>
    <r>
      <rPr>
        <sz val="11"/>
        <color theme="1"/>
        <rFont val="Calibri"/>
        <family val="2"/>
        <scheme val="minor"/>
      </rPr>
      <t>: bei WAHR ist der Rückgabewert immer der VORHERIGE (sucht Excel z.B. nach 950 obiger Tabelle</t>
    </r>
  </si>
  <si>
    <t xml:space="preserve">ist der vorherige Wert "0". </t>
  </si>
  <si>
    <t>Einzelpreis</t>
  </si>
  <si>
    <t>Status</t>
  </si>
  <si>
    <t>Ergebnis</t>
  </si>
  <si>
    <t xml:space="preserve">Ergebnis mit Hilfe der WENN-Funktion: </t>
  </si>
  <si>
    <t>Status 1, lautet das Ergebnis "Ja"</t>
  </si>
  <si>
    <t>Status 2, lautet das Ergebnis "Nein"</t>
  </si>
  <si>
    <t>Status 3 lautet das Ergebnis "Vielleicht"</t>
  </si>
  <si>
    <t>Status kann sein 1, 2 oder 3 (keine anderen Werte)</t>
  </si>
  <si>
    <t>=WENN(Prüfung;Dann;Sonst)</t>
  </si>
  <si>
    <t>SEHR häufig verwendete Funktion in Excel. In der einfachsten Form besagt die WENN-Funktion:</t>
  </si>
  <si>
    <t>WENN(ein Wert wahr ist; dann tue dieses; sonst tue etwas anderes)</t>
  </si>
  <si>
    <t>=WENN(Prüfung;Dann;Sonst) lauten die Bestandteile der WENN-Funktion.</t>
  </si>
  <si>
    <t>Diese Verschachtelungen lassen sich beliebig mit anderen Funktionen kombinieren.</t>
  </si>
  <si>
    <t>Aufgabe 5- Verschachtelte/geschachtelte WENN-Funktion</t>
  </si>
  <si>
    <t>WAHR bedeutet: ungefähre Übereinstimmung (lässt man den Bereich_Verweis leer, wird automatisch WAHR angenommen)</t>
  </si>
  <si>
    <t>FALSCH bedeutet: genaue Übereinstimmung (Achtung: bei einer Suche nach einem TEXT =&gt; immer "FALSCH" verwenden!!!)</t>
  </si>
  <si>
    <r>
      <rPr>
        <b/>
        <sz val="11"/>
        <color theme="1"/>
        <rFont val="Calibri"/>
        <family val="2"/>
        <scheme val="minor"/>
      </rPr>
      <t xml:space="preserve">Merke: </t>
    </r>
    <r>
      <rPr>
        <sz val="11"/>
        <color theme="1"/>
        <rFont val="Calibri"/>
        <family val="2"/>
        <scheme val="minor"/>
      </rPr>
      <t>=SVERWEIS(B40;$B$35:$C$36;2) ohne WAHR/FALSCH funktioniert ebenfalls.</t>
    </r>
  </si>
  <si>
    <t>Teilweise kann man statt eines SVERWEIS auch eine verschachtelte WENN-Funktion verwenden (aber nicht immer!)</t>
  </si>
  <si>
    <t xml:space="preserve">Artikel </t>
  </si>
  <si>
    <t>Bestellung</t>
  </si>
  <si>
    <t>Preis /Stück</t>
  </si>
  <si>
    <t>Hamburger</t>
  </si>
  <si>
    <t>Cheeseburger</t>
  </si>
  <si>
    <t>Fish Mc</t>
  </si>
  <si>
    <t>Big Mc</t>
  </si>
  <si>
    <t>Mc Chicken</t>
  </si>
  <si>
    <t>Salat</t>
  </si>
  <si>
    <t>Cola</t>
  </si>
  <si>
    <t>Wasser</t>
  </si>
  <si>
    <t>Cafe</t>
  </si>
  <si>
    <t>Ketchup</t>
  </si>
  <si>
    <t>ÜBUNGSAUFGABE 2</t>
  </si>
  <si>
    <t>Stückpreis</t>
  </si>
  <si>
    <t>Gesamptpreis</t>
  </si>
  <si>
    <t>Provisionssatz in %</t>
  </si>
  <si>
    <t>Tankgutschein</t>
  </si>
  <si>
    <t>Müller</t>
  </si>
  <si>
    <t>kein Gutschein</t>
  </si>
  <si>
    <t>Umsatz in €</t>
  </si>
  <si>
    <t>höchster Umsatz</t>
  </si>
  <si>
    <t>niederigster Umsatz</t>
  </si>
  <si>
    <t>ÜBUNGSAUFGABE 3</t>
  </si>
  <si>
    <t>Jahresumsatz
 in €</t>
  </si>
  <si>
    <t>Provision
 in €</t>
  </si>
  <si>
    <t>Hinz</t>
  </si>
  <si>
    <t>Kunz</t>
  </si>
  <si>
    <t>Maier</t>
  </si>
  <si>
    <t>Mayer</t>
  </si>
  <si>
    <t>Mayr</t>
  </si>
  <si>
    <t>Meier</t>
  </si>
  <si>
    <t>Tank-
gutschein</t>
  </si>
  <si>
    <t>Provisions-satz in %</t>
  </si>
  <si>
    <t>LÖSUNG</t>
  </si>
  <si>
    <t>ÜBUNGSAUFGABE 1 (Lösung rechts)</t>
  </si>
  <si>
    <t>Pommes groß</t>
  </si>
  <si>
    <t>Pommes klein</t>
  </si>
  <si>
    <t>Provisionssatz 
in %</t>
  </si>
  <si>
    <t>UND- und ODER-Funktion (inkl. Übungen mit WENN-Verschachtelung)</t>
  </si>
  <si>
    <t>UND-FUNKTION:</t>
  </si>
  <si>
    <t>Ist wie die WENN-Funktion eine Prüfung.</t>
  </si>
  <si>
    <t>Es werden mehrere Argumente geprüft (mindestens 2)</t>
  </si>
  <si>
    <t xml:space="preserve">Unterschied zur WENN-Funktion: </t>
  </si>
  <si>
    <t>Das Ergebnis der UND-Funktion ist "WAHR" oder "FALSCH"</t>
  </si>
  <si>
    <t>Es sollen folgende 2 Bedingungen erfüllt sein.</t>
  </si>
  <si>
    <t>1. Geschlecht = Mann</t>
  </si>
  <si>
    <t>2. Hobby = Fußball</t>
  </si>
  <si>
    <t>Geschlecht</t>
  </si>
  <si>
    <t>Mann</t>
  </si>
  <si>
    <t>Frau</t>
  </si>
  <si>
    <t>Hobby</t>
  </si>
  <si>
    <t>Fußball</t>
  </si>
  <si>
    <t>Handball</t>
  </si>
  <si>
    <t>Tennis</t>
  </si>
  <si>
    <t>Statt "WAHR" soll als Ergebnis "Fußballfan" ausgegeben werden. Sonst soll die Zelle frei bleiben.</t>
  </si>
  <si>
    <t>Volleyball</t>
  </si>
  <si>
    <t>Die UND-Funktion ist nach wie vor identisch. Sie übernimmt jetzt die "Prüfung" in der WENN-Funktion.</t>
  </si>
  <si>
    <t>=WENN(UND(B30="mann";C30="Fußball");"Fußballfan";"")</t>
  </si>
  <si>
    <t>Die zwei "" fügen eine leere Zelle ein.</t>
  </si>
  <si>
    <t>Gelesen wir die Funktion so:</t>
  </si>
  <si>
    <t>ODER-FUNKTION:</t>
  </si>
  <si>
    <t>Ist ebenfalls eine Prüfung</t>
  </si>
  <si>
    <t xml:space="preserve">Unterschied zur WENN-Funktion und zur UND-Funktion: </t>
  </si>
  <si>
    <t>Es werden ebenfalls mehrere Argumente geprüft (mindestens 2)</t>
  </si>
  <si>
    <r>
      <rPr>
        <b/>
        <sz val="11"/>
        <color theme="1"/>
        <rFont val="Calibri"/>
        <family val="2"/>
        <scheme val="minor"/>
      </rPr>
      <t>BEIDE</t>
    </r>
    <r>
      <rPr>
        <sz val="11"/>
        <color theme="1"/>
        <rFont val="Calibri"/>
        <family val="2"/>
        <scheme val="minor"/>
      </rPr>
      <t xml:space="preserve"> Argumente müssen "WAHR" sein.</t>
    </r>
  </si>
  <si>
    <r>
      <t xml:space="preserve">Nur </t>
    </r>
    <r>
      <rPr>
        <b/>
        <sz val="11"/>
        <color theme="1"/>
        <rFont val="Calibri"/>
        <family val="2"/>
        <scheme val="minor"/>
      </rPr>
      <t>EIN</t>
    </r>
    <r>
      <rPr>
        <sz val="11"/>
        <color theme="1"/>
        <rFont val="Calibri"/>
        <family val="2"/>
        <scheme val="minor"/>
      </rPr>
      <t xml:space="preserve"> Argumente muss "WAHR" sein.</t>
    </r>
  </si>
  <si>
    <t>1. Geschlecht = Frau</t>
  </si>
  <si>
    <t>2. Hobby = Handball</t>
  </si>
  <si>
    <t>Das Ergebnis der ODER-Funktion ist ebenfalls "WAHR" oder "FALSCH"</t>
  </si>
  <si>
    <t>Statt "WAHR" soll als Ergebnis "Einladung" ausgegeben werden. Sonst soll die Zelle frei bleiben.</t>
  </si>
  <si>
    <t>Die ODER-Funktion ist nach wie vor identisch. Sie übernimmt jetzt die "Prüfung" in der WENN-Funktion.</t>
  </si>
  <si>
    <t>=WENN(ODER(B30="Frau";C30="Handball");"Einladung";"")</t>
  </si>
  <si>
    <t>WENN Geschlecht=Frau ODER Hobby=Tennis, DANN "Einladung", SONST Zelle frei lassen</t>
  </si>
  <si>
    <t>WENN Geschlecht=Mann UND Hobby=Fußball, DANN "Fußballfan", SONST Zelle frei lassen</t>
  </si>
  <si>
    <t>Für KÖNNER:</t>
  </si>
  <si>
    <t>Die Verschachtelungen lassen sich beliebig kombinieren.</t>
  </si>
  <si>
    <t>Folgende Bedingungen müssen erfüllt sein</t>
  </si>
  <si>
    <t>ODER</t>
  </si>
  <si>
    <t>2. Hobby = Tennis</t>
  </si>
  <si>
    <t>Wir finden so also männliche Fußballer und weibliche Tennisspieler.</t>
  </si>
  <si>
    <t>Als Egebnis soll zunächs "WAHR" oder "FALSCH" ausgegeben werden.</t>
  </si>
  <si>
    <t>In diesem Fall wäre das die ODER Funktion.</t>
  </si>
  <si>
    <t>Gelesen: (MANN und Fußball) ODER (FRAU und Tennis)</t>
  </si>
  <si>
    <t>=ODER(UND(Prüfung1;Prüfung2);UND(Prüfung3;Prüfung4))</t>
  </si>
  <si>
    <t>Soll statt "WAHR" oder "FALSCH" ein anderes Ergebnis ausgegeben werden, so ist</t>
  </si>
  <si>
    <t>die gesamte Funktion (Zelle=C62) als Prüfung in die WENN-Funktion einzufügen.</t>
  </si>
  <si>
    <t>Männliche Fußballer und weibliche Tennisspielerinnen erhalten eine "Einladung".</t>
  </si>
  <si>
    <t>Klingt kompliziert? Ist es nicht.</t>
  </si>
  <si>
    <t>Rang</t>
  </si>
  <si>
    <t>Gewinner</t>
  </si>
  <si>
    <t>Fr. Hinz</t>
  </si>
  <si>
    <t>Fr. Kunz</t>
  </si>
  <si>
    <t>Fr. Mund</t>
  </si>
  <si>
    <t>Fr. Mayer</t>
  </si>
  <si>
    <t>Fr. Müller</t>
  </si>
  <si>
    <t>Fr. Schmidt</t>
  </si>
  <si>
    <t>Die RANG-Funktion ermittelt jetzt den "Platz", wie beim Sport (höchster Umsatz = Rang 1)</t>
  </si>
  <si>
    <t>=RANG(Zahl;Bezug;Reihenfolge)</t>
  </si>
  <si>
    <r>
      <rPr>
        <b/>
        <sz val="11"/>
        <color theme="1"/>
        <rFont val="Calibri"/>
        <family val="2"/>
        <scheme val="minor"/>
      </rPr>
      <t>Beispiel:</t>
    </r>
    <r>
      <rPr>
        <sz val="11"/>
        <color theme="1"/>
        <rFont val="Calibri"/>
        <family val="2"/>
        <scheme val="minor"/>
      </rPr>
      <t xml:space="preserve"> Vertriebsaktion in einer Parfümerie. Der/die MA mit dem höchsten Umsatz gewinnt.</t>
    </r>
  </si>
  <si>
    <t>Die Funktion kann auch den "niedrigsten Umsatz" mit Rang 1 ausweisen (wenn niedriger = besser).</t>
  </si>
  <si>
    <t>Das ist beispielsweise bei Kosten, Benzinverbrauch, etc. sinnvoll.</t>
  </si>
  <si>
    <t>Reihenfolge = "0" (Null), dann absteigend (höchster hat Rang 1), anderer Wert (z.B. "1"), dann aufsteigend.</t>
  </si>
  <si>
    <t>Verlierer</t>
  </si>
  <si>
    <t>Lösung</t>
  </si>
  <si>
    <t>Gewinner ist mit Rang 1 auszuweisen</t>
  </si>
  <si>
    <t xml:space="preserve">ACHTUNG: </t>
  </si>
  <si>
    <t>Gleiche Werte (also in unserem Fall exakt gleiche Umsätze) führen zu Problemen.</t>
  </si>
  <si>
    <t>Bei 6 Zahlen gibt es dann evtl. nur Rang 1-5 oder Rang 2-6!!! (absteigend bzw. aufsteigend)</t>
  </si>
  <si>
    <r>
      <rPr>
        <b/>
        <sz val="11"/>
        <color theme="1"/>
        <rFont val="Calibri"/>
        <family val="2"/>
        <scheme val="minor"/>
      </rPr>
      <t>Zahl:</t>
    </r>
    <r>
      <rPr>
        <sz val="11"/>
        <color theme="1"/>
        <rFont val="Calibri"/>
        <family val="2"/>
        <scheme val="minor"/>
      </rPr>
      <t xml:space="preserve">    Die Zahl, für welche der Rang ermittelt werden soll.</t>
    </r>
  </si>
  <si>
    <r>
      <rPr>
        <b/>
        <sz val="11"/>
        <color theme="1"/>
        <rFont val="Calibri"/>
        <family val="2"/>
        <scheme val="minor"/>
      </rPr>
      <t>Bezug:</t>
    </r>
    <r>
      <rPr>
        <sz val="11"/>
        <color theme="1"/>
        <rFont val="Calibri"/>
        <family val="2"/>
        <scheme val="minor"/>
      </rPr>
      <t xml:space="preserve">    Eine "Matrix" oder "Tabelle" oder "Liste" mit Zahlen, die verglichen werden sollen.</t>
    </r>
  </si>
  <si>
    <r>
      <rPr>
        <b/>
        <sz val="11"/>
        <color theme="1"/>
        <rFont val="Calibri"/>
        <family val="2"/>
        <scheme val="minor"/>
      </rPr>
      <t>Reihenfolge:</t>
    </r>
    <r>
      <rPr>
        <sz val="11"/>
        <color theme="1"/>
        <rFont val="Calibri"/>
        <family val="2"/>
        <scheme val="minor"/>
      </rPr>
      <t xml:space="preserve">    Auf- oder absteigend (also Rang 1 = größter oder kleinster Wert)</t>
    </r>
  </si>
  <si>
    <t>WENN-UND-ODER-Verschachtelungen =&gt; siehe UND_ODER-Aufgaben</t>
  </si>
  <si>
    <t>Denkbar sind natürlich auch WENN-MIN-MAX-Verschachtelungen etc.</t>
  </si>
  <si>
    <t>Danke, dass Du den Excel-Trainer benutzt. Wenn Du ihn nützlich findest, freuen wir uns über ein LIKE der Seite www.fit-in-rechnungswesen.de</t>
  </si>
  <si>
    <t>Inhalte:</t>
  </si>
  <si>
    <t>1. Formeln (Erklärung, Beispiele)</t>
  </si>
  <si>
    <t>2. Übungen mit verschiedenen Funktionen</t>
  </si>
  <si>
    <t>WENN()-Funktion, SUMMEWENN(), ZÄHLENWENN()</t>
  </si>
  <si>
    <t>SUMME(), MAX(), MIN(), MITTELWERT(), Prozentrechnen</t>
  </si>
  <si>
    <t>Einfache Berechnung, Liniendiagramm</t>
  </si>
  <si>
    <t>Aufgabe 1 - Ausbildungskosten im Vergleich</t>
  </si>
  <si>
    <t>Aufgabe 2 - Umsatzstatistik Handelsvertreter</t>
  </si>
  <si>
    <t>Einfache Berechnung, Linien- und Kreisdiagramm</t>
  </si>
  <si>
    <t>Diese Seiten dienen überwiegend der Erklärung</t>
  </si>
  <si>
    <t>und der Einübung der verschiedenen Funktionen.</t>
  </si>
  <si>
    <t>Funktionen und Schwierigkeiten. In aller Regel sind</t>
  </si>
  <si>
    <t>verschiedene Berechnungen, Funktionen, Formatierungen</t>
  </si>
  <si>
    <t>und Diagramme verlangt.</t>
  </si>
  <si>
    <t>Aufgabe 3 - Lohnliste</t>
  </si>
  <si>
    <t>Einfache Funktionen, einfache Berechnungen, Säulendiagramm</t>
  </si>
  <si>
    <t>Aufgabe 4 - Angebotsvergleich (quantitativ)</t>
  </si>
  <si>
    <t>Aufgabe 5 - Angebotsvergleich (qualitativ)</t>
  </si>
  <si>
    <t>Aufgabe 6 - Kostenübersicht/-entwicklung</t>
  </si>
  <si>
    <t>Einfache Funktionen, Prozentrechnen, Säulendiagramm</t>
  </si>
  <si>
    <t>Berechnungen, Säulendiagramm</t>
  </si>
  <si>
    <t>Private Einnahmen und Ausgaben</t>
  </si>
  <si>
    <t>Einfache Berechnung, Formatierung</t>
  </si>
  <si>
    <t>Einfache Berechnung, Kreisdiagramm</t>
  </si>
  <si>
    <t>Aufgabe 9 - Artikeldatei</t>
  </si>
  <si>
    <t>WENN(), Filter, Sortierung</t>
  </si>
  <si>
    <t>(als Anhaltspunkt mit Angabe der Schwerpunkte)</t>
  </si>
  <si>
    <t>Aufgabe 7 - Private Einnahmen und Ausgaben</t>
  </si>
  <si>
    <t>Aufgabe 8 - Entwicklung der Investitionen</t>
  </si>
  <si>
    <t>Überstundenstatistik - Überstunden pro Mitarbeiter je Abteilung</t>
  </si>
  <si>
    <t>Belegung und Umsätze im Konzertsaal</t>
  </si>
  <si>
    <t>Bilanz- und Renditekennzahlen</t>
  </si>
  <si>
    <t>Aufgabe 10 - Berechnung Prämien- und Akkordlohn</t>
  </si>
  <si>
    <t>Einfache Berechnung, WENN(), RANG(), Säulendiagramm</t>
  </si>
  <si>
    <t>Aufgabe 11 - Berechnung Handelsspanne</t>
  </si>
  <si>
    <t>Berechnungen, MIN(), MAX(), MITTELWERT(), Balkendiagramm</t>
  </si>
  <si>
    <t>Aufgabe 12 - Inventar</t>
  </si>
  <si>
    <t>Einfache Berechnungen</t>
  </si>
  <si>
    <t>Aufgabe 13 - Absatz- und Umsatzzahlen</t>
  </si>
  <si>
    <t>Einfache Berechnungen, Säulendiagramm</t>
  </si>
  <si>
    <t>Aufgabe 14 - Überstunden pro Mitarbeiter je Abteilung</t>
  </si>
  <si>
    <t>Aufgabe 15 - Belegung und Umsätze im Konzertsaal</t>
  </si>
  <si>
    <t>Einfache Berechnungen, Kreisdiagramm</t>
  </si>
  <si>
    <t>Aufgabe 16 - Bilanz- und Renditekennzahlen</t>
  </si>
  <si>
    <t>Aufgabe 17 - Quartalsumsätze</t>
  </si>
  <si>
    <t>MIN(), MAX(), MITTELWERT(), Prozentrechnen, Säulendiagramm</t>
  </si>
  <si>
    <t>Aufgabe 18 - Angebotsvergleich</t>
  </si>
  <si>
    <t>Berechnung, WENN()</t>
  </si>
  <si>
    <t>Aufgabe 19 - ABC-Analyse</t>
  </si>
  <si>
    <t>Berechnungen, WENN()-Verschachtelung</t>
  </si>
  <si>
    <t>Aufgabe 20 - Eigenfertigung oder Fremdbezug (make or buy)</t>
  </si>
  <si>
    <t>Aufgabe 21 - Handelskalkulation</t>
  </si>
  <si>
    <t>Berechnungen, Kreisdiagramm</t>
  </si>
  <si>
    <t>Aufgabe 22 - Optimale Bestellmenge</t>
  </si>
  <si>
    <t>Berechnungen, WENN()-Verschachtelung, SVERWEIS()</t>
  </si>
  <si>
    <t>Komplementär Waldemar Wild</t>
  </si>
  <si>
    <t>Komplementärin Wilhelma Wild</t>
  </si>
  <si>
    <t>Kommanditistin Wanda Wild</t>
  </si>
  <si>
    <t>Kommanditist Dirk Iberger</t>
  </si>
  <si>
    <t>1. Verbinde die Zellen A8 bis B9, C8 bis C9, D8 bis D9, F8 bis F9 und G8 bis G9</t>
  </si>
  <si>
    <t>Aufgabe 23 - Kostevergleich Einstellung - Personalleasing</t>
  </si>
  <si>
    <t>Berechnungen</t>
  </si>
  <si>
    <t>Einfache Berechnungen, SVERWEIS(), Balkendiagramm</t>
  </si>
  <si>
    <t>Berechnungen, Liniendiagramm</t>
  </si>
  <si>
    <t>Mahnwesen - Zahlungseingangskontrolle</t>
  </si>
  <si>
    <t>Berechnungen, SVERWEIS()</t>
  </si>
  <si>
    <t>Aufgabe 24 - Gewinnverteilung Kommantitgesellschaft (KG)</t>
  </si>
  <si>
    <t>Aufgabe 25 - Provisionsberechnung Außendienst</t>
  </si>
  <si>
    <t>Aufgabe 26 - Nutzenschwelle/Gewinnschwelle/break-even-point</t>
  </si>
  <si>
    <t>Aufgabe 27 - Mahnwesen - Zahlungseingangskontrolle</t>
  </si>
  <si>
    <t>Aufgabe 28 - Fehlzeitenübersicht</t>
  </si>
  <si>
    <t>= mit (kopierbarer) Formel auszufüllen</t>
  </si>
  <si>
    <t>LÖSUNG (siehe rechte Seite)</t>
  </si>
  <si>
    <r>
      <t xml:space="preserve">1. Geschlecht = Mann </t>
    </r>
    <r>
      <rPr>
        <b/>
        <u/>
        <sz val="11"/>
        <color theme="1"/>
        <rFont val="Calibri"/>
        <family val="2"/>
        <scheme val="minor"/>
      </rPr>
      <t>UND</t>
    </r>
  </si>
  <si>
    <r>
      <t>Es (</t>
    </r>
    <r>
      <rPr>
        <b/>
        <sz val="11"/>
        <color theme="1"/>
        <rFont val="Calibri"/>
        <family val="2"/>
        <scheme val="minor"/>
      </rPr>
      <t>mindestens</t>
    </r>
    <r>
      <rPr>
        <sz val="11"/>
        <color theme="1"/>
        <rFont val="Calibri"/>
        <family val="2"/>
        <scheme val="minor"/>
      </rPr>
      <t>) EINE der folgenden Bedingungen erfüllt sein (sind beide erfüllt, ist es auch "WAHR").</t>
    </r>
  </si>
  <si>
    <r>
      <t xml:space="preserve">1. Geschlecht = Frau </t>
    </r>
    <r>
      <rPr>
        <b/>
        <u/>
        <sz val="11"/>
        <color theme="1"/>
        <rFont val="Calibri"/>
        <family val="2"/>
        <scheme val="minor"/>
      </rPr>
      <t>ODER</t>
    </r>
  </si>
  <si>
    <t>1.</t>
  </si>
  <si>
    <t>2.</t>
  </si>
  <si>
    <t>3.</t>
  </si>
  <si>
    <t>4.</t>
  </si>
  <si>
    <t>5.</t>
  </si>
  <si>
    <t>6.</t>
  </si>
  <si>
    <t>7.</t>
  </si>
  <si>
    <t>Formatiere die Überschrift in Zeile 3 zentriert über die  Spalten A bis C, fett, Times New Roman 14 pt.</t>
  </si>
  <si>
    <t>Ermittle in Werte für die grau hinterlegten Feldern.</t>
  </si>
  <si>
    <t>Formatiere alle Werte mit Tausender-Trennzeichen und 2 Nachkommastellen.</t>
  </si>
  <si>
    <t>Stelle die ermittelten Quoten mit %-Zeichen und einer Nachkommastelle dar.</t>
  </si>
  <si>
    <t>Verlängere die vorhandenen Linien um eine Spalte nach rechts.</t>
  </si>
  <si>
    <t>die Umlaufquote, die Eigenkapital- sowie die Fremdkapitalquote.</t>
  </si>
  <si>
    <t xml:space="preserve">Ermittle rechts von den entsprechenden grauen Feldern die Anlagenquote, </t>
  </si>
  <si>
    <t>(1-seitig, möglichst groß)</t>
  </si>
  <si>
    <t>Formatiere den Druckbereich so, dass nur die Tabelle gedruckt wird.</t>
  </si>
  <si>
    <t>x = Formel anzeigen</t>
  </si>
  <si>
    <t>UND()_ODER()-Funktion</t>
  </si>
  <si>
    <t>RANG()-Funktion</t>
  </si>
  <si>
    <t>Die hier enthaltenen Funktionen und Übungen orientieren sich an den Anforderungen des</t>
  </si>
  <si>
    <t xml:space="preserve">Nachdem viele DV-Lehrpläne anderer Ausbildungsberufe überwiegend deckungsgleich sind, können diese auch dort gut eingesetzt werden. </t>
  </si>
  <si>
    <t>Selbstverständlich bemühen wir uns, dass der Excel-Trainer fehlerfrei ist. Sollte sich dennoch mal ein Fehler eingeschlichen haben,</t>
  </si>
  <si>
    <t>Der Excel-Trainer ist eine Selbstlern-Anwendung für Azubis und Schüler, welche ideal unterrichtsbegleitend, oder zur Vorbereitung auf</t>
  </si>
  <si>
    <t>ALLE Übungen greifen BWL-Inhalte auf. Dass diese evtl. noch nicht behandelt wurden ist zu vernachlässigen.</t>
  </si>
  <si>
    <t>HINWEISE ZU DEN INHALTEN</t>
  </si>
  <si>
    <t>ALLGEMEINE HINWEISE</t>
  </si>
  <si>
    <t>Die Übungen verlangen immer den Einsatz verschiedener Funktionen, Berechnungen, Formatierungen etc., so dass die Bearbeitung</t>
  </si>
  <si>
    <t>der verschiedenen Übungen stets verschiedene Kompetenzen einfordert.</t>
  </si>
  <si>
    <t>TASTE F2  und</t>
  </si>
  <si>
    <t>FORMELN =&gt; Formeln anzeigen</t>
  </si>
  <si>
    <t>Wichtige Tasten und Kurzbefehle:</t>
  </si>
  <si>
    <t>F2: zeigt die Formel für die ausgewählte Zelle an</t>
  </si>
  <si>
    <t>"Formeln anzeigen": zeigt ALLE Formeln eines Arbeitsblattes an.</t>
  </si>
  <si>
    <t xml:space="preserve">Nachteil: Die Spaltenbreite wird angepasst auf Formellänge, </t>
  </si>
  <si>
    <t>Lösung anzeigen: STRG + Bild ↓</t>
  </si>
  <si>
    <t>3. Füge vor der "Verzugszinsen-Staffelung" in Spalte A die Fristen ein (also 12, 30 und 50 bzw. 13, 31, 51 - je nach Interpretation)</t>
  </si>
  <si>
    <t>Zurück zur Aufgabe: STRG + Bild ↑</t>
  </si>
  <si>
    <t>was ab und an unübersichtlich wird. Dafür sieht man alle</t>
  </si>
  <si>
    <t>Formeln.</t>
  </si>
  <si>
    <t>Abwandlung der Funktion mit Eingabefeld (statt Birne kann z.B. Orange eingegeben werden)</t>
  </si>
  <si>
    <t>Kaufmanns bzw. der Kauffrau für Büromanagement.</t>
  </si>
  <si>
    <t>Klassenarbeiten und ggfs. Auf den vorgezogenen Teil der Abschlussprüfung (z.B. bei Büromanagement) genutzt werden kann.</t>
  </si>
  <si>
    <t>bitten wir um eine kurze Rückmeldung, dann können wir das umgehend per Update korrigieren.</t>
  </si>
  <si>
    <t>Diese Einheit dient dazu, die Funktionsweise, den Nutzen und die Bedienung der unterschiedlichen Funktionen zu erklären und anzuwenden.</t>
  </si>
  <si>
    <t>die Formel "Mittelwert()" nicht, wenn man nach "Durchschnitt" sucht.</t>
  </si>
  <si>
    <r>
      <rPr>
        <b/>
        <sz val="11"/>
        <color theme="1"/>
        <rFont val="Calibri"/>
        <family val="2"/>
        <scheme val="minor"/>
      </rPr>
      <t>Übrigens</t>
    </r>
    <r>
      <rPr>
        <sz val="11"/>
        <color theme="1"/>
        <rFont val="Calibri"/>
        <family val="2"/>
        <scheme val="minor"/>
      </rPr>
      <t xml:space="preserve">: Die Funktion für "Durchschnitt" lautet "Mittelwert()". Bis heute findet Excel über "Funktion suchen" </t>
    </r>
  </si>
  <si>
    <t>Aufgabe 3 - Sitzplan nach Kategorien: ZÄHLENWENN()-Funktion</t>
  </si>
  <si>
    <t>Aufgabe 1 - Kino - einfache WENN()-Funktion</t>
  </si>
  <si>
    <t>= mit Formel auszufüllen</t>
  </si>
  <si>
    <t>= Eingabefeld (z.B. Orange statt Birne)</t>
  </si>
  <si>
    <t>= Eingabefelder/Variablen</t>
  </si>
  <si>
    <t>Ersetzte die "?" mit einer geeigneten Funkion. (Lösung rechts)</t>
  </si>
  <si>
    <t>= Eingabefeld/Variable</t>
  </si>
  <si>
    <t>Für KÖNNER (Lösung auf der rechten Seite!):</t>
  </si>
  <si>
    <t>zum Vergleich(ohne WENN):</t>
  </si>
  <si>
    <t>zu errechnen!</t>
  </si>
  <si>
    <t>Probleme bei den Variablen Kosten je Stück?</t>
  </si>
  <si>
    <t>Erweiterung des Beispiels (Verschachtelung mit WENN):</t>
  </si>
  <si>
    <t>Hier muss man etwas aufpassen. Das "UND" zwischen männliche Fußballer und weiblichen</t>
  </si>
  <si>
    <t>Tennisspielern ist für Excel ein "ODER".</t>
  </si>
  <si>
    <r>
      <rPr>
        <b/>
        <sz val="11"/>
        <color theme="1"/>
        <rFont val="Calibri"/>
        <family val="2"/>
        <scheme val="minor"/>
      </rPr>
      <t>ACHTUNG</t>
    </r>
    <r>
      <rPr>
        <sz val="11"/>
        <color theme="1"/>
        <rFont val="Calibri"/>
        <family val="2"/>
        <scheme val="minor"/>
      </rPr>
      <t>: Die Aufgabe lautet ja wie folgt:</t>
    </r>
  </si>
  <si>
    <r>
      <t xml:space="preserve">Männliche Fußballer </t>
    </r>
    <r>
      <rPr>
        <b/>
        <u/>
        <sz val="11"/>
        <color theme="1"/>
        <rFont val="Calibri"/>
        <family val="2"/>
        <scheme val="minor"/>
      </rPr>
      <t>und</t>
    </r>
    <r>
      <rPr>
        <sz val="11"/>
        <color theme="1"/>
        <rFont val="Calibri"/>
        <family val="2"/>
        <scheme val="minor"/>
      </rPr>
      <t xml:space="preserve"> weibliche Tennisspielerinnen erhalten eine "Einladung".</t>
    </r>
  </si>
  <si>
    <r>
      <rPr>
        <b/>
        <sz val="11"/>
        <color theme="1"/>
        <rFont val="Calibri"/>
        <family val="2"/>
        <scheme val="minor"/>
      </rPr>
      <t>WICHTIG</t>
    </r>
    <r>
      <rPr>
        <sz val="11"/>
        <color theme="1"/>
        <rFont val="Calibri"/>
        <family val="2"/>
        <scheme val="minor"/>
      </rPr>
      <t>: man muss sich immer überlegen, welches die übergeordnete Funktion ist.</t>
    </r>
  </si>
  <si>
    <t>Verlierer ist ebenfalls mit Rang 1 auszuweisen (natürlich könnte man auch Rang 6 für den Verlierer nehmen)</t>
  </si>
  <si>
    <t>1. Teil: Formeln und Erklärungen</t>
  </si>
  <si>
    <t>2. Teil: Übungen</t>
  </si>
  <si>
    <t>Die Aufgaben sind selbsterklärend und können in aller Regel auch ohne Vorkenntnisse gelöst werden.</t>
  </si>
  <si>
    <r>
      <t xml:space="preserve">Lösung anzeigen: STRG + Bild </t>
    </r>
    <r>
      <rPr>
        <sz val="12"/>
        <color theme="0"/>
        <rFont val="Calibri"/>
        <family val="2"/>
      </rPr>
      <t>↓</t>
    </r>
  </si>
  <si>
    <r>
      <t xml:space="preserve">Lösung anzeigen: STRG + Bild </t>
    </r>
    <r>
      <rPr>
        <b/>
        <sz val="12"/>
        <color theme="0"/>
        <rFont val="Calibri"/>
        <family val="2"/>
      </rPr>
      <t>↓</t>
    </r>
  </si>
  <si>
    <r>
      <t xml:space="preserve">Zurück zur Aufgabe: STRG + Bild </t>
    </r>
    <r>
      <rPr>
        <b/>
        <sz val="12"/>
        <color theme="0"/>
        <rFont val="Calibri"/>
        <family val="2"/>
      </rPr>
      <t>↑</t>
    </r>
  </si>
  <si>
    <r>
      <t xml:space="preserve">Lösung anzeigen: STRG + Bild </t>
    </r>
    <r>
      <rPr>
        <b/>
        <sz val="11"/>
        <color theme="0"/>
        <rFont val="Calibri"/>
        <family val="2"/>
      </rPr>
      <t>↓</t>
    </r>
  </si>
  <si>
    <r>
      <t xml:space="preserve">Zurück zur Aufgabe: STRG + Bild </t>
    </r>
    <r>
      <rPr>
        <b/>
        <sz val="11"/>
        <color theme="0"/>
        <rFont val="Calibri"/>
        <family val="2"/>
      </rPr>
      <t>↑</t>
    </r>
  </si>
  <si>
    <r>
      <t xml:space="preserve">Lösung anzeigen: STRG + Bild </t>
    </r>
    <r>
      <rPr>
        <b/>
        <sz val="10"/>
        <color theme="0"/>
        <rFont val="Calibri"/>
        <family val="2"/>
      </rPr>
      <t>↓</t>
    </r>
  </si>
  <si>
    <r>
      <t xml:space="preserve">Zurück zur Aufgabe: STRG + Bild </t>
    </r>
    <r>
      <rPr>
        <b/>
        <sz val="10"/>
        <color theme="0"/>
        <rFont val="Calibri"/>
        <family val="2"/>
      </rPr>
      <t>↑</t>
    </r>
  </si>
  <si>
    <r>
      <t xml:space="preserve">Lösung anzeigen: STRG + Bild </t>
    </r>
    <r>
      <rPr>
        <b/>
        <sz val="8"/>
        <color theme="0"/>
        <rFont val="Calibri"/>
        <family val="2"/>
      </rPr>
      <t>↓</t>
    </r>
  </si>
  <si>
    <r>
      <t xml:space="preserve">Zur Aufgabe: STRG + Bild </t>
    </r>
    <r>
      <rPr>
        <b/>
        <sz val="10"/>
        <color theme="0"/>
        <rFont val="Calibri"/>
        <family val="2"/>
      </rPr>
      <t>↑</t>
    </r>
  </si>
  <si>
    <t>Wenn man mit einer Funktion einen"TEXT" sucht oder einfügen möchte (z.B. Sitzkategorie A im obigen Beispiel), so ist dieser</t>
  </si>
  <si>
    <t>Ebenfalls wichtig:</t>
  </si>
  <si>
    <t>Lösungen müssen manuell wieder entfernt werden, wenn</t>
  </si>
  <si>
    <t>man die gleiche Aufgabe nochmals bearbeiten möchte.</t>
  </si>
  <si>
    <t>Alternativ:</t>
  </si>
  <si>
    <r>
      <rPr>
        <b/>
        <sz val="11"/>
        <color theme="1"/>
        <rFont val="Calibri"/>
        <family val="2"/>
        <scheme val="minor"/>
      </rPr>
      <t xml:space="preserve">Hinweis 2: </t>
    </r>
    <r>
      <rPr>
        <sz val="11"/>
        <color theme="1"/>
        <rFont val="Calibri"/>
        <family val="2"/>
        <scheme val="minor"/>
      </rPr>
      <t>Wenn Du Angebot 1 richtig berechnet und verlinkt hast (inkl. absoluter Adressierung der Zelle B5),</t>
    </r>
  </si>
  <si>
    <t>Die Übungen (A1 bis A28) kombinieren jeweils verschiedene</t>
  </si>
  <si>
    <t>Download der "unbearbeiteten" Excel-Datei unter</t>
  </si>
  <si>
    <t>www.fit-in-rechnungswesen.de/lernanwendungen</t>
  </si>
  <si>
    <r>
      <rPr>
        <b/>
        <sz val="11"/>
        <color theme="1"/>
        <rFont val="Calibri"/>
        <family val="2"/>
        <scheme val="minor"/>
      </rPr>
      <t>HINWEIS</t>
    </r>
    <r>
      <rPr>
        <sz val="11"/>
        <color theme="1"/>
        <rFont val="Calibri"/>
        <family val="2"/>
        <scheme val="minor"/>
      </rPr>
      <t xml:space="preserve">: Übungen zur handschriflichen Bearbeitung (Prüfungsvorbereitung) unter: </t>
    </r>
    <r>
      <rPr>
        <b/>
        <i/>
        <u/>
        <sz val="11"/>
        <color theme="1"/>
        <rFont val="Calibri"/>
        <family val="2"/>
        <scheme val="minor"/>
      </rPr>
      <t>www.rechnungswesen-app.de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</si>
</sst>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 &quot;€&quot;"/>
    <numFmt numFmtId="166" formatCode="_-* #,##0.00\ [$€-1]_-;\-* #,##0.00\ [$€-1]_-;_-* &quot;-&quot;??\ [$€-1]_-"/>
    <numFmt numFmtId="167" formatCode="#,##0.00\ &quot;€&quot;"/>
    <numFmt numFmtId="168" formatCode="#,##0_ ;\-#,##0\ "/>
    <numFmt numFmtId="169" formatCode="0.0"/>
    <numFmt numFmtId="170" formatCode="0.00_ ;\-0.00\ "/>
    <numFmt numFmtId="171" formatCode="#,##0.00_ ;\-#,##0.00\ "/>
    <numFmt numFmtId="172" formatCode="0.0%"/>
  </numFmts>
  <fonts count="69" x14ac:knownFonts="1">
    <font>
      <sz val="11"/>
      <color theme="1"/>
      <name val="Calibri"/>
      <family val="2"/>
      <scheme val="minor"/>
    </font>
    <font>
      <sz val="12"/>
      <color theme="1"/>
      <name val="Arial"/>
      <family val="2"/>
    </font>
    <font>
      <sz val="10"/>
      <name val="Arial"/>
      <family val="2"/>
    </font>
    <font>
      <sz val="11"/>
      <name val="Calibri"/>
      <family val="2"/>
      <scheme val="minor"/>
    </font>
    <font>
      <b/>
      <u/>
      <sz val="10"/>
      <name val="Calibri"/>
      <family val="2"/>
      <scheme val="minor"/>
    </font>
    <font>
      <b/>
      <sz val="11"/>
      <color theme="1"/>
      <name val="Calibri"/>
      <family val="2"/>
      <scheme val="minor"/>
    </font>
    <font>
      <b/>
      <u/>
      <sz val="12"/>
      <name val="Arial"/>
      <family val="2"/>
    </font>
    <font>
      <b/>
      <sz val="10"/>
      <name val="Arial"/>
      <family val="2"/>
    </font>
    <font>
      <b/>
      <i/>
      <sz val="10"/>
      <name val="Arial"/>
      <family val="2"/>
    </font>
    <font>
      <i/>
      <sz val="11"/>
      <color theme="1"/>
      <name val="Calibri"/>
      <family val="2"/>
      <scheme val="minor"/>
    </font>
    <font>
      <b/>
      <i/>
      <sz val="11"/>
      <color theme="1"/>
      <name val="Calibri"/>
      <family val="2"/>
      <scheme val="minor"/>
    </font>
    <font>
      <sz val="11"/>
      <color theme="1"/>
      <name val="Calibri"/>
      <family val="2"/>
      <scheme val="minor"/>
    </font>
    <font>
      <b/>
      <u/>
      <sz val="14"/>
      <name val="Arial"/>
      <family val="2"/>
    </font>
    <font>
      <b/>
      <u/>
      <sz val="11"/>
      <name val="Arial"/>
      <family val="2"/>
    </font>
    <font>
      <u/>
      <sz val="10"/>
      <name val="Arial"/>
      <family val="2"/>
    </font>
    <font>
      <b/>
      <u/>
      <sz val="10"/>
      <name val="Arial"/>
      <family val="2"/>
    </font>
    <font>
      <b/>
      <sz val="12"/>
      <name val="Arial"/>
      <family val="2"/>
    </font>
    <font>
      <b/>
      <sz val="12"/>
      <color theme="1"/>
      <name val="Calibri"/>
      <family val="2"/>
      <scheme val="minor"/>
    </font>
    <font>
      <i/>
      <sz val="9"/>
      <name val="Arial"/>
      <family val="2"/>
    </font>
    <font>
      <b/>
      <sz val="11"/>
      <color theme="1"/>
      <name val="Arial"/>
      <family val="2"/>
    </font>
    <font>
      <b/>
      <sz val="16"/>
      <name val="Calibri"/>
      <family val="2"/>
      <scheme val="minor"/>
    </font>
    <font>
      <b/>
      <sz val="12"/>
      <name val="Calibri"/>
      <family val="2"/>
      <scheme val="minor"/>
    </font>
    <font>
      <b/>
      <u/>
      <sz val="11"/>
      <color theme="1"/>
      <name val="Calibri"/>
      <family val="2"/>
      <scheme val="minor"/>
    </font>
    <font>
      <b/>
      <sz val="10"/>
      <color theme="1"/>
      <name val="Arial"/>
      <family val="2"/>
    </font>
    <font>
      <b/>
      <sz val="10"/>
      <color rgb="FFFF0000"/>
      <name val="Arial"/>
      <family val="2"/>
    </font>
    <font>
      <sz val="11"/>
      <color theme="0"/>
      <name val="Calibri"/>
      <family val="2"/>
      <scheme val="minor"/>
    </font>
    <font>
      <sz val="10"/>
      <name val="Calibri"/>
      <family val="2"/>
      <scheme val="minor"/>
    </font>
    <font>
      <b/>
      <u/>
      <sz val="12"/>
      <name val="Calibri"/>
      <family val="2"/>
      <scheme val="minor"/>
    </font>
    <font>
      <b/>
      <sz val="10"/>
      <name val="Calibri"/>
      <family val="2"/>
      <scheme val="minor"/>
    </font>
    <font>
      <b/>
      <i/>
      <sz val="10"/>
      <name val="Calibri"/>
      <family val="2"/>
      <scheme val="minor"/>
    </font>
    <font>
      <i/>
      <sz val="9"/>
      <name val="Calibri"/>
      <family val="2"/>
      <scheme val="minor"/>
    </font>
    <font>
      <b/>
      <u/>
      <sz val="14"/>
      <name val="Calibri"/>
      <family val="2"/>
      <scheme val="minor"/>
    </font>
    <font>
      <b/>
      <u/>
      <sz val="11"/>
      <name val="Calibri"/>
      <family val="2"/>
      <scheme val="minor"/>
    </font>
    <font>
      <u/>
      <sz val="10"/>
      <name val="Calibri"/>
      <family val="2"/>
      <scheme val="minor"/>
    </font>
    <font>
      <sz val="10"/>
      <color theme="1"/>
      <name val="Calibri"/>
      <family val="2"/>
      <scheme val="minor"/>
    </font>
    <font>
      <b/>
      <sz val="11"/>
      <name val="Calibri"/>
      <family val="2"/>
      <scheme val="minor"/>
    </font>
    <font>
      <sz val="10"/>
      <color theme="0"/>
      <name val="Calibri"/>
      <family val="2"/>
      <scheme val="minor"/>
    </font>
    <font>
      <sz val="10"/>
      <color theme="0"/>
      <name val="Arial"/>
      <family val="2"/>
    </font>
    <font>
      <b/>
      <sz val="11"/>
      <color theme="4" tint="-0.249977111117893"/>
      <name val="Calibri"/>
      <family val="2"/>
      <scheme val="minor"/>
    </font>
    <font>
      <b/>
      <sz val="14"/>
      <color theme="4" tint="-0.249977111117893"/>
      <name val="Calibri"/>
      <family val="2"/>
      <scheme val="minor"/>
    </font>
    <font>
      <b/>
      <sz val="18"/>
      <color theme="4" tint="-0.249977111117893"/>
      <name val="Calibri"/>
      <family val="2"/>
      <scheme val="minor"/>
    </font>
    <font>
      <b/>
      <u/>
      <sz val="12"/>
      <color theme="4" tint="-0.249977111117893"/>
      <name val="Calibri"/>
      <family val="2"/>
      <scheme val="minor"/>
    </font>
    <font>
      <b/>
      <i/>
      <sz val="14"/>
      <color theme="4" tint="-0.249977111117893"/>
      <name val="Calibri"/>
      <family val="2"/>
      <scheme val="minor"/>
    </font>
    <font>
      <b/>
      <i/>
      <sz val="10"/>
      <color theme="1"/>
      <name val="Arial"/>
      <family val="2"/>
    </font>
    <font>
      <sz val="10"/>
      <color theme="1"/>
      <name val="Arial"/>
      <family val="2"/>
    </font>
    <font>
      <b/>
      <sz val="11"/>
      <color theme="0"/>
      <name val="Calibri"/>
      <family val="2"/>
      <scheme val="minor"/>
    </font>
    <font>
      <b/>
      <sz val="10"/>
      <color theme="0"/>
      <name val="Calibri"/>
      <family val="2"/>
      <scheme val="minor"/>
    </font>
    <font>
      <b/>
      <sz val="16"/>
      <color theme="4" tint="-0.249977111117893"/>
      <name val="Calibri"/>
      <family val="2"/>
      <scheme val="minor"/>
    </font>
    <font>
      <b/>
      <u/>
      <sz val="14"/>
      <color theme="4" tint="-0.249977111117893"/>
      <name val="Arial"/>
      <family val="2"/>
    </font>
    <font>
      <b/>
      <i/>
      <sz val="11"/>
      <name val="Calibri"/>
      <family val="2"/>
      <scheme val="minor"/>
    </font>
    <font>
      <b/>
      <sz val="14"/>
      <color theme="4" tint="-0.249977111117893"/>
      <name val="Arial"/>
      <family val="2"/>
    </font>
    <font>
      <b/>
      <sz val="11"/>
      <name val="Arial"/>
      <family val="2"/>
    </font>
    <font>
      <sz val="11"/>
      <color theme="2" tint="-9.9978637043366805E-2"/>
      <name val="Calibri"/>
      <family val="2"/>
      <scheme val="minor"/>
    </font>
    <font>
      <b/>
      <sz val="14"/>
      <color theme="1"/>
      <name val="Calibri"/>
      <family val="2"/>
      <scheme val="minor"/>
    </font>
    <font>
      <u/>
      <sz val="11"/>
      <color theme="10"/>
      <name val="Calibri"/>
      <family val="2"/>
      <scheme val="minor"/>
    </font>
    <font>
      <b/>
      <u/>
      <sz val="11"/>
      <color theme="4"/>
      <name val="Calibri"/>
      <family val="2"/>
      <scheme val="minor"/>
    </font>
    <font>
      <b/>
      <u/>
      <sz val="14"/>
      <color theme="10"/>
      <name val="Calibri"/>
      <family val="2"/>
      <scheme val="minor"/>
    </font>
    <font>
      <sz val="12"/>
      <color theme="0"/>
      <name val="Calibri"/>
      <family val="2"/>
      <scheme val="minor"/>
    </font>
    <font>
      <sz val="12"/>
      <color theme="0"/>
      <name val="Calibri"/>
      <family val="2"/>
    </font>
    <font>
      <b/>
      <sz val="12"/>
      <color theme="0"/>
      <name val="Calibri"/>
      <family val="2"/>
      <scheme val="minor"/>
    </font>
    <font>
      <b/>
      <sz val="12"/>
      <color theme="0"/>
      <name val="Calibri"/>
      <family val="2"/>
    </font>
    <font>
      <b/>
      <sz val="10"/>
      <color theme="0"/>
      <name val="Arial"/>
      <family val="2"/>
    </font>
    <font>
      <b/>
      <sz val="11"/>
      <color theme="0"/>
      <name val="Calibri"/>
      <family val="2"/>
    </font>
    <font>
      <b/>
      <sz val="10"/>
      <color theme="0"/>
      <name val="Calibri"/>
      <family val="2"/>
    </font>
    <font>
      <b/>
      <sz val="8"/>
      <color theme="0"/>
      <name val="Calibri"/>
      <family val="2"/>
      <scheme val="minor"/>
    </font>
    <font>
      <b/>
      <sz val="8"/>
      <color theme="0"/>
      <name val="Calibri"/>
      <family val="2"/>
    </font>
    <font>
      <b/>
      <i/>
      <sz val="11"/>
      <color theme="0"/>
      <name val="Calibri"/>
      <family val="2"/>
      <scheme val="minor"/>
    </font>
    <font>
      <u/>
      <sz val="11"/>
      <color theme="0"/>
      <name val="Calibri"/>
      <family val="2"/>
      <scheme val="minor"/>
    </font>
    <font>
      <b/>
      <i/>
      <u/>
      <sz val="11"/>
      <color theme="1"/>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0000"/>
        <bgColor indexed="64"/>
      </patternFill>
    </fill>
    <fill>
      <patternFill patternType="solid">
        <fgColor theme="9" tint="-0.24997711111789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double">
        <color indexed="64"/>
      </top>
      <bottom/>
      <diagonal/>
    </border>
    <border>
      <left/>
      <right style="double">
        <color indexed="64"/>
      </right>
      <top/>
      <bottom/>
      <diagonal/>
    </border>
    <border>
      <left/>
      <right style="thin">
        <color indexed="64"/>
      </right>
      <top style="thin">
        <color indexed="64"/>
      </top>
      <bottom style="double">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ck">
        <color indexed="64"/>
      </right>
      <top style="double">
        <color indexed="64"/>
      </top>
      <bottom style="thin">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s>
  <cellStyleXfs count="7">
    <xf numFmtId="0" fontId="0" fillId="0" borderId="0"/>
    <xf numFmtId="166" fontId="2"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64" fontId="11" fillId="0" borderId="0" applyFont="0" applyFill="0" applyBorder="0" applyAlignment="0" applyProtection="0"/>
    <xf numFmtId="0" fontId="54" fillId="0" borderId="0" applyNumberFormat="0" applyFill="0" applyBorder="0" applyAlignment="0" applyProtection="0"/>
  </cellStyleXfs>
  <cellXfs count="700">
    <xf numFmtId="0" fontId="0" fillId="0" borderId="0" xfId="0"/>
    <xf numFmtId="0" fontId="2" fillId="0" borderId="0" xfId="0" applyFont="1"/>
    <xf numFmtId="0" fontId="3" fillId="0" borderId="1" xfId="0" applyFont="1" applyBorder="1" applyAlignment="1">
      <alignment horizontal="center"/>
    </xf>
    <xf numFmtId="3" fontId="3" fillId="0" borderId="1" xfId="0" applyNumberFormat="1" applyFont="1" applyBorder="1" applyAlignment="1">
      <alignment horizontal="center"/>
    </xf>
    <xf numFmtId="165" fontId="3" fillId="0" borderId="1" xfId="0" applyNumberFormat="1" applyFont="1" applyBorder="1" applyAlignment="1">
      <alignment horizontal="center"/>
    </xf>
    <xf numFmtId="3" fontId="3" fillId="0" borderId="1" xfId="1" applyNumberFormat="1" applyFont="1" applyBorder="1" applyAlignment="1">
      <alignment horizontal="center"/>
    </xf>
    <xf numFmtId="0" fontId="4" fillId="0" borderId="0" xfId="0" applyFont="1"/>
    <xf numFmtId="167" fontId="3" fillId="0" borderId="1" xfId="0" applyNumberFormat="1" applyFont="1" applyBorder="1" applyAlignment="1">
      <alignment horizontal="center"/>
    </xf>
    <xf numFmtId="0" fontId="6" fillId="0" borderId="0" xfId="0" applyFont="1"/>
    <xf numFmtId="0" fontId="0" fillId="0" borderId="0" xfId="0" applyAlignment="1">
      <alignment horizontal="left" indent="1"/>
    </xf>
    <xf numFmtId="0" fontId="5" fillId="0" borderId="0" xfId="0" applyFont="1"/>
    <xf numFmtId="0" fontId="2" fillId="0" borderId="0" xfId="0" applyFont="1" applyAlignment="1">
      <alignment horizontal="center"/>
    </xf>
    <xf numFmtId="0" fontId="2" fillId="0" borderId="1" xfId="0" applyFont="1" applyBorder="1"/>
    <xf numFmtId="0" fontId="8" fillId="0" borderId="1" xfId="0" applyFont="1" applyBorder="1"/>
    <xf numFmtId="0" fontId="7" fillId="0" borderId="1" xfId="0" applyFont="1" applyBorder="1" applyAlignment="1">
      <alignment horizontal="right"/>
    </xf>
    <xf numFmtId="0" fontId="9" fillId="0" borderId="0" xfId="0" applyFont="1" applyAlignment="1">
      <alignment horizontal="left" indent="1"/>
    </xf>
    <xf numFmtId="0" fontId="12" fillId="0" borderId="0" xfId="0" applyFont="1"/>
    <xf numFmtId="0" fontId="13" fillId="0" borderId="0" xfId="0" applyFont="1"/>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7" fontId="7" fillId="2" borderId="0" xfId="1" applyNumberFormat="1" applyFont="1" applyFill="1" applyAlignment="1">
      <alignment horizontal="center" vertical="center"/>
    </xf>
    <xf numFmtId="0" fontId="7" fillId="2" borderId="0" xfId="0" quotePrefix="1" applyFont="1" applyFill="1"/>
    <xf numFmtId="0" fontId="7" fillId="2" borderId="0" xfId="0" applyFont="1" applyFill="1" applyAlignment="1">
      <alignment horizontal="center" vertical="center"/>
    </xf>
    <xf numFmtId="0" fontId="7" fillId="2" borderId="0" xfId="0" applyFont="1" applyFill="1" applyAlignment="1">
      <alignment horizontal="center" vertical="center" wrapText="1"/>
    </xf>
    <xf numFmtId="7" fontId="7" fillId="2" borderId="0" xfId="1" applyNumberFormat="1" applyFont="1" applyFill="1" applyAlignment="1">
      <alignment horizontal="center" vertical="center" wrapText="1"/>
    </xf>
    <xf numFmtId="0" fontId="7" fillId="2" borderId="0" xfId="0" applyFont="1" applyFill="1"/>
    <xf numFmtId="9" fontId="0" fillId="0" borderId="0" xfId="3" applyFont="1"/>
    <xf numFmtId="0" fontId="2" fillId="0" borderId="0" xfId="0" applyFont="1" applyAlignment="1">
      <alignment horizontal="left"/>
    </xf>
    <xf numFmtId="0" fontId="7" fillId="0" borderId="0" xfId="0" applyFont="1"/>
    <xf numFmtId="2" fontId="0" fillId="0" borderId="0" xfId="1" applyNumberFormat="1" applyFont="1" applyFill="1" applyBorder="1"/>
    <xf numFmtId="171" fontId="0" fillId="0" borderId="0" xfId="1" applyNumberFormat="1" applyFont="1" applyBorder="1"/>
    <xf numFmtId="0" fontId="15" fillId="0" borderId="0" xfId="0" applyFont="1"/>
    <xf numFmtId="0" fontId="14" fillId="0" borderId="0" xfId="0" applyFont="1" applyAlignment="1">
      <alignment horizontal="right"/>
    </xf>
    <xf numFmtId="0" fontId="0" fillId="0" borderId="1" xfId="0" applyBorder="1"/>
    <xf numFmtId="0" fontId="7" fillId="0" borderId="0" xfId="0" applyFont="1" applyAlignment="1">
      <alignment horizontal="center"/>
    </xf>
    <xf numFmtId="7" fontId="7" fillId="2" borderId="1" xfId="1" applyNumberFormat="1" applyFont="1" applyFill="1" applyBorder="1" applyAlignment="1">
      <alignment horizontal="center" vertical="center" wrapText="1"/>
    </xf>
    <xf numFmtId="7" fontId="7" fillId="0" borderId="0" xfId="1" applyNumberFormat="1" applyFont="1" applyAlignment="1">
      <alignment horizontal="center" vertical="center" wrapText="1"/>
    </xf>
    <xf numFmtId="7" fontId="2" fillId="0" borderId="0" xfId="1" applyNumberFormat="1" applyFont="1"/>
    <xf numFmtId="0" fontId="8" fillId="0" borderId="0" xfId="0" applyFont="1"/>
    <xf numFmtId="0" fontId="0" fillId="0" borderId="1" xfId="0" applyBorder="1" applyAlignment="1">
      <alignment horizontal="center"/>
    </xf>
    <xf numFmtId="0" fontId="0" fillId="0" borderId="0" xfId="0" applyAlignment="1">
      <alignment horizontal="left"/>
    </xf>
    <xf numFmtId="7" fontId="2" fillId="3" borderId="0" xfId="1" applyNumberFormat="1" applyFont="1" applyFill="1"/>
    <xf numFmtId="9" fontId="2" fillId="3" borderId="0" xfId="3" applyFont="1" applyFill="1"/>
    <xf numFmtId="9" fontId="2" fillId="3" borderId="0" xfId="1" applyNumberFormat="1" applyFont="1" applyFill="1"/>
    <xf numFmtId="167" fontId="2" fillId="3" borderId="0" xfId="0" applyNumberFormat="1" applyFont="1" applyFill="1"/>
    <xf numFmtId="167" fontId="2" fillId="3" borderId="0" xfId="2" applyNumberFormat="1" applyFont="1" applyFill="1"/>
    <xf numFmtId="9" fontId="0" fillId="3" borderId="0" xfId="0" applyNumberFormat="1" applyFill="1"/>
    <xf numFmtId="4" fontId="2" fillId="0" borderId="1" xfId="1" applyNumberFormat="1" applyFont="1" applyBorder="1" applyAlignment="1">
      <alignment horizontal="center"/>
    </xf>
    <xf numFmtId="4" fontId="2" fillId="0" borderId="1" xfId="0" applyNumberFormat="1" applyFont="1" applyBorder="1" applyAlignment="1">
      <alignment horizontal="center"/>
    </xf>
    <xf numFmtId="0" fontId="0" fillId="3" borderId="0" xfId="0" applyFill="1" applyAlignment="1">
      <alignment horizontal="left"/>
    </xf>
    <xf numFmtId="0" fontId="5" fillId="0" borderId="1" xfId="0" quotePrefix="1" applyFont="1" applyBorder="1" applyAlignment="1">
      <alignment horizontal="left" indent="1"/>
    </xf>
    <xf numFmtId="0" fontId="5" fillId="0" borderId="1" xfId="0" applyFont="1" applyBorder="1"/>
    <xf numFmtId="0" fontId="0" fillId="0" borderId="0" xfId="0" applyAlignment="1">
      <alignment horizontal="left" indent="2"/>
    </xf>
    <xf numFmtId="170" fontId="0" fillId="0" borderId="0" xfId="1" applyNumberFormat="1" applyFont="1" applyFill="1" applyBorder="1"/>
    <xf numFmtId="171" fontId="0" fillId="0" borderId="0" xfId="1" applyNumberFormat="1" applyFont="1" applyFill="1" applyBorder="1"/>
    <xf numFmtId="0" fontId="0" fillId="0" borderId="0" xfId="0" applyAlignment="1">
      <alignment horizontal="center"/>
    </xf>
    <xf numFmtId="3" fontId="0" fillId="0" borderId="0" xfId="0" applyNumberFormat="1"/>
    <xf numFmtId="166" fontId="0" fillId="0" borderId="5" xfId="1" applyFont="1" applyBorder="1"/>
    <xf numFmtId="166" fontId="0" fillId="0" borderId="0" xfId="1" applyFont="1"/>
    <xf numFmtId="3" fontId="0" fillId="0" borderId="1" xfId="0" applyNumberFormat="1" applyBorder="1" applyAlignment="1">
      <alignment horizontal="center"/>
    </xf>
    <xf numFmtId="172" fontId="0" fillId="0" borderId="1" xfId="3" applyNumberFormat="1" applyFont="1" applyBorder="1" applyAlignment="1">
      <alignment horizontal="center"/>
    </xf>
    <xf numFmtId="1" fontId="2" fillId="0" borderId="0" xfId="0" applyNumberFormat="1" applyFont="1" applyAlignment="1">
      <alignment horizontal="right"/>
    </xf>
    <xf numFmtId="0" fontId="0" fillId="0" borderId="18" xfId="0" applyBorder="1" applyAlignment="1">
      <alignment horizontal="center"/>
    </xf>
    <xf numFmtId="0" fontId="0" fillId="0" borderId="21" xfId="0" applyBorder="1" applyAlignment="1">
      <alignment horizontal="center"/>
    </xf>
    <xf numFmtId="0" fontId="0" fillId="0" borderId="0" xfId="0" quotePrefix="1"/>
    <xf numFmtId="0" fontId="5" fillId="0" borderId="0" xfId="0" applyFont="1" applyAlignment="1">
      <alignment horizontal="right"/>
    </xf>
    <xf numFmtId="10" fontId="0" fillId="0" borderId="0" xfId="3" applyNumberFormat="1" applyFont="1" applyAlignment="1">
      <alignment horizontal="center"/>
    </xf>
    <xf numFmtId="0" fontId="5" fillId="0" borderId="0" xfId="0" applyFont="1" applyAlignment="1">
      <alignment horizontal="center"/>
    </xf>
    <xf numFmtId="9" fontId="0" fillId="0" borderId="0" xfId="0" applyNumberFormat="1"/>
    <xf numFmtId="4" fontId="0" fillId="0" borderId="0" xfId="0" applyNumberFormat="1"/>
    <xf numFmtId="4" fontId="0" fillId="0" borderId="22" xfId="0" applyNumberFormat="1" applyBorder="1"/>
    <xf numFmtId="0" fontId="7" fillId="0" borderId="2" xfId="0" applyFont="1" applyBorder="1"/>
    <xf numFmtId="4" fontId="0" fillId="0" borderId="8" xfId="0" applyNumberFormat="1" applyBorder="1"/>
    <xf numFmtId="167" fontId="0" fillId="0" borderId="0" xfId="0" applyNumberFormat="1"/>
    <xf numFmtId="166" fontId="0" fillId="0" borderId="1" xfId="1" applyFont="1" applyBorder="1"/>
    <xf numFmtId="1" fontId="0" fillId="0" borderId="35" xfId="2" applyNumberFormat="1" applyFont="1" applyBorder="1"/>
    <xf numFmtId="1" fontId="0" fillId="0" borderId="1" xfId="2" applyNumberFormat="1" applyFont="1" applyBorder="1"/>
    <xf numFmtId="1" fontId="0" fillId="0" borderId="5" xfId="2" applyNumberFormat="1" applyFont="1" applyBorder="1"/>
    <xf numFmtId="166" fontId="0" fillId="0" borderId="39" xfId="1" applyFont="1" applyBorder="1"/>
    <xf numFmtId="1" fontId="0" fillId="0" borderId="39" xfId="2" applyNumberFormat="1" applyFont="1" applyBorder="1"/>
    <xf numFmtId="0" fontId="7" fillId="2" borderId="0" xfId="0" quotePrefix="1" applyFont="1" applyFill="1" applyAlignment="1">
      <alignment horizontal="left"/>
    </xf>
    <xf numFmtId="0" fontId="0" fillId="0" borderId="41" xfId="0" applyBorder="1"/>
    <xf numFmtId="0" fontId="5" fillId="0" borderId="35" xfId="0" applyFont="1" applyBorder="1" applyAlignment="1">
      <alignment horizontal="center" wrapText="1"/>
    </xf>
    <xf numFmtId="0" fontId="5" fillId="0" borderId="42" xfId="0" applyFont="1" applyBorder="1" applyAlignment="1">
      <alignment horizontal="center" wrapText="1"/>
    </xf>
    <xf numFmtId="0" fontId="0" fillId="0" borderId="26" xfId="0" applyBorder="1"/>
    <xf numFmtId="8" fontId="0" fillId="0" borderId="36" xfId="0" applyNumberFormat="1" applyBorder="1" applyAlignment="1">
      <alignment horizontal="center"/>
    </xf>
    <xf numFmtId="0" fontId="17" fillId="0" borderId="38" xfId="0" applyFont="1" applyBorder="1"/>
    <xf numFmtId="0" fontId="0" fillId="0" borderId="0" xfId="0" applyAlignment="1">
      <alignment horizontal="right"/>
    </xf>
    <xf numFmtId="167" fontId="0" fillId="0" borderId="1" xfId="2" applyNumberFormat="1" applyFont="1" applyBorder="1" applyAlignment="1">
      <alignment horizontal="center"/>
    </xf>
    <xf numFmtId="167" fontId="0" fillId="0" borderId="1" xfId="0" applyNumberFormat="1" applyBorder="1" applyAlignment="1">
      <alignment horizontal="center"/>
    </xf>
    <xf numFmtId="0" fontId="5" fillId="0" borderId="0" xfId="0" applyFont="1" applyAlignment="1">
      <alignment vertical="center"/>
    </xf>
    <xf numFmtId="10" fontId="0" fillId="0" borderId="0" xfId="0" applyNumberFormat="1"/>
    <xf numFmtId="0" fontId="5" fillId="0" borderId="0" xfId="0" applyFont="1" applyAlignment="1">
      <alignment horizontal="left" indent="1"/>
    </xf>
    <xf numFmtId="0" fontId="9" fillId="0" borderId="0" xfId="0" applyFont="1" applyAlignment="1">
      <alignment horizontal="left" indent="2"/>
    </xf>
    <xf numFmtId="0" fontId="7" fillId="0" borderId="0" xfId="0" applyFont="1" applyAlignment="1">
      <alignment horizontal="right"/>
    </xf>
    <xf numFmtId="0" fontId="18" fillId="0" borderId="0" xfId="0" applyFont="1" applyAlignment="1">
      <alignment horizontal="left"/>
    </xf>
    <xf numFmtId="1" fontId="0" fillId="0" borderId="18" xfId="3" applyNumberFormat="1" applyFont="1" applyBorder="1" applyAlignment="1">
      <alignment horizontal="center"/>
    </xf>
    <xf numFmtId="1" fontId="0" fillId="0" borderId="21" xfId="3" applyNumberFormat="1" applyFont="1" applyBorder="1" applyAlignment="1">
      <alignment horizontal="center"/>
    </xf>
    <xf numFmtId="166" fontId="0" fillId="0" borderId="35" xfId="1" applyFont="1" applyBorder="1"/>
    <xf numFmtId="7" fontId="2" fillId="0" borderId="0" xfId="0" applyNumberFormat="1" applyFont="1"/>
    <xf numFmtId="167" fontId="2" fillId="0" borderId="0" xfId="0" applyNumberFormat="1" applyFont="1"/>
    <xf numFmtId="2" fontId="2" fillId="0" borderId="0" xfId="0" applyNumberFormat="1" applyFont="1" applyAlignment="1">
      <alignment horizontal="center"/>
    </xf>
    <xf numFmtId="167" fontId="16" fillId="0" borderId="0" xfId="0" applyNumberFormat="1"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172" fontId="0" fillId="0" borderId="0" xfId="3" applyNumberFormat="1" applyFont="1"/>
    <xf numFmtId="0" fontId="19" fillId="0" borderId="0" xfId="0" applyFont="1" applyAlignment="1">
      <alignment horizontal="center" vertical="center"/>
    </xf>
    <xf numFmtId="167" fontId="0" fillId="0" borderId="0" xfId="1" applyNumberFormat="1" applyFont="1" applyFill="1" applyBorder="1"/>
    <xf numFmtId="167" fontId="0" fillId="0" borderId="0" xfId="1" applyNumberFormat="1" applyFont="1" applyBorder="1"/>
    <xf numFmtId="0" fontId="21" fillId="0" borderId="0" xfId="0" applyFont="1" applyAlignment="1">
      <alignment horizontal="center" vertical="center"/>
    </xf>
    <xf numFmtId="0" fontId="0" fillId="3" borderId="0" xfId="0" applyFill="1"/>
    <xf numFmtId="0" fontId="9" fillId="3" borderId="0" xfId="0" applyFont="1" applyFill="1"/>
    <xf numFmtId="167" fontId="0" fillId="3" borderId="1" xfId="0" applyNumberFormat="1" applyFill="1" applyBorder="1" applyAlignment="1">
      <alignment horizontal="center"/>
    </xf>
    <xf numFmtId="3" fontId="0" fillId="0" borderId="0" xfId="0" applyNumberFormat="1" applyAlignment="1">
      <alignment horizontal="center"/>
    </xf>
    <xf numFmtId="3" fontId="10" fillId="0" borderId="0" xfId="0" applyNumberFormat="1" applyFont="1" applyAlignment="1">
      <alignment horizontal="center"/>
    </xf>
    <xf numFmtId="4" fontId="10" fillId="0" borderId="0" xfId="0" applyNumberFormat="1" applyFont="1" applyAlignment="1">
      <alignment horizontal="center"/>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38" xfId="0" applyBorder="1"/>
    <xf numFmtId="0" fontId="23" fillId="0" borderId="35" xfId="0" applyFont="1" applyBorder="1" applyAlignment="1">
      <alignment horizontal="center"/>
    </xf>
    <xf numFmtId="0" fontId="23" fillId="0" borderId="42" xfId="0" applyFont="1" applyBorder="1" applyAlignment="1">
      <alignment horizontal="center"/>
    </xf>
    <xf numFmtId="0" fontId="10" fillId="0" borderId="36" xfId="0" applyFont="1" applyBorder="1" applyAlignment="1">
      <alignment horizontal="center"/>
    </xf>
    <xf numFmtId="0" fontId="10" fillId="0" borderId="40" xfId="0" applyFont="1" applyBorder="1" applyAlignment="1">
      <alignment horizontal="center"/>
    </xf>
    <xf numFmtId="0" fontId="10" fillId="0" borderId="39" xfId="0" applyFont="1" applyBorder="1" applyAlignment="1">
      <alignment horizontal="center"/>
    </xf>
    <xf numFmtId="172" fontId="2" fillId="0" borderId="0" xfId="3" applyNumberFormat="1" applyFont="1" applyFill="1" applyBorder="1" applyAlignment="1">
      <alignment horizontal="right"/>
    </xf>
    <xf numFmtId="0" fontId="2" fillId="0" borderId="1" xfId="0" applyFont="1" applyBorder="1" applyAlignment="1">
      <alignment horizontal="left"/>
    </xf>
    <xf numFmtId="0" fontId="16" fillId="0" borderId="1" xfId="0" applyFont="1" applyBorder="1" applyAlignment="1">
      <alignment horizontal="center" vertical="center" wrapText="1"/>
    </xf>
    <xf numFmtId="167" fontId="2" fillId="0" borderId="1" xfId="0" applyNumberFormat="1" applyFont="1" applyBorder="1"/>
    <xf numFmtId="167" fontId="2" fillId="0" borderId="1" xfId="0" applyNumberFormat="1" applyFont="1" applyBorder="1" applyAlignment="1">
      <alignment horizontal="right"/>
    </xf>
    <xf numFmtId="0" fontId="24" fillId="4" borderId="1" xfId="0" applyFont="1" applyFill="1" applyBorder="1"/>
    <xf numFmtId="0" fontId="0" fillId="0" borderId="1" xfId="2" applyNumberFormat="1" applyFont="1" applyBorder="1" applyAlignment="1">
      <alignment vertical="center"/>
    </xf>
    <xf numFmtId="0" fontId="0" fillId="0" borderId="1" xfId="2" applyNumberFormat="1" applyFont="1" applyBorder="1"/>
    <xf numFmtId="0" fontId="0" fillId="0" borderId="1" xfId="3" applyNumberFormat="1" applyFont="1" applyBorder="1" applyAlignment="1">
      <alignment horizontal="center"/>
    </xf>
    <xf numFmtId="8" fontId="0" fillId="0" borderId="45" xfId="0" applyNumberFormat="1" applyBorder="1" applyAlignment="1">
      <alignment horizontal="center"/>
    </xf>
    <xf numFmtId="8" fontId="0" fillId="0" borderId="43" xfId="0" applyNumberFormat="1" applyBorder="1" applyAlignment="1">
      <alignment horizontal="center"/>
    </xf>
    <xf numFmtId="44" fontId="2" fillId="0" borderId="5" xfId="2" applyFont="1" applyBorder="1" applyAlignment="1">
      <alignment vertical="center" wrapText="1"/>
    </xf>
    <xf numFmtId="44" fontId="2" fillId="0" borderId="55" xfId="2" applyFont="1" applyFill="1" applyBorder="1" applyAlignment="1">
      <alignment vertical="center" wrapText="1"/>
    </xf>
    <xf numFmtId="0" fontId="5" fillId="3" borderId="13" xfId="0" applyFont="1" applyFill="1" applyBorder="1" applyAlignment="1">
      <alignment horizontal="center"/>
    </xf>
    <xf numFmtId="0" fontId="17" fillId="0" borderId="0" xfId="0" applyFont="1"/>
    <xf numFmtId="0" fontId="17" fillId="0" borderId="14" xfId="0" applyFont="1" applyBorder="1"/>
    <xf numFmtId="0" fontId="17" fillId="0" borderId="16" xfId="0" applyFont="1" applyBorder="1"/>
    <xf numFmtId="167" fontId="0" fillId="0" borderId="18" xfId="0" applyNumberFormat="1" applyBorder="1"/>
    <xf numFmtId="0" fontId="5" fillId="0" borderId="19" xfId="0" applyFont="1" applyBorder="1"/>
    <xf numFmtId="167" fontId="5" fillId="0" borderId="21" xfId="0" applyNumberFormat="1" applyFont="1" applyBorder="1"/>
    <xf numFmtId="0" fontId="5" fillId="0" borderId="17" xfId="0" applyFont="1" applyBorder="1"/>
    <xf numFmtId="3" fontId="0" fillId="0" borderId="18" xfId="0" applyNumberFormat="1" applyBorder="1" applyAlignment="1">
      <alignment horizontal="center"/>
    </xf>
    <xf numFmtId="167" fontId="0" fillId="0" borderId="18" xfId="0" applyNumberFormat="1" applyBorder="1" applyAlignment="1">
      <alignment horizontal="center"/>
    </xf>
    <xf numFmtId="167" fontId="5" fillId="0" borderId="18" xfId="0" applyNumberFormat="1" applyFont="1" applyBorder="1" applyAlignment="1">
      <alignment horizontal="center"/>
    </xf>
    <xf numFmtId="0" fontId="10" fillId="0" borderId="0" xfId="0" applyFont="1" applyAlignment="1">
      <alignment horizontal="left" indent="1"/>
    </xf>
    <xf numFmtId="4" fontId="0" fillId="3" borderId="1" xfId="0" applyNumberFormat="1" applyFill="1" applyBorder="1" applyAlignment="1">
      <alignment horizontal="center"/>
    </xf>
    <xf numFmtId="9" fontId="0" fillId="3" borderId="1" xfId="3" applyFont="1" applyFill="1" applyBorder="1" applyAlignment="1">
      <alignment horizontal="center"/>
    </xf>
    <xf numFmtId="0" fontId="2" fillId="0" borderId="0" xfId="0" applyFont="1" applyAlignment="1">
      <alignment horizontal="left" indent="1"/>
    </xf>
    <xf numFmtId="0" fontId="7" fillId="3" borderId="10" xfId="0" applyFont="1" applyFill="1" applyBorder="1" applyAlignment="1">
      <alignment horizontal="center"/>
    </xf>
    <xf numFmtId="9" fontId="0" fillId="0" borderId="1" xfId="3" applyFont="1" applyFill="1" applyBorder="1" applyAlignment="1">
      <alignment horizontal="center"/>
    </xf>
    <xf numFmtId="0" fontId="5" fillId="0" borderId="1" xfId="0" applyFont="1" applyBorder="1" applyAlignment="1">
      <alignment horizontal="center"/>
    </xf>
    <xf numFmtId="0" fontId="0" fillId="0" borderId="0" xfId="0" applyAlignment="1">
      <alignment horizontal="left" wrapText="1" indent="1"/>
    </xf>
    <xf numFmtId="0" fontId="20" fillId="0" borderId="0" xfId="0" applyFont="1"/>
    <xf numFmtId="167" fontId="0" fillId="0" borderId="1" xfId="0" applyNumberFormat="1" applyBorder="1"/>
    <xf numFmtId="1" fontId="0" fillId="0" borderId="1" xfId="0" applyNumberFormat="1" applyBorder="1"/>
    <xf numFmtId="2" fontId="0" fillId="0" borderId="0" xfId="0" applyNumberFormat="1"/>
    <xf numFmtId="0" fontId="0" fillId="0" borderId="41" xfId="0" applyBorder="1" applyAlignment="1">
      <alignment horizontal="center"/>
    </xf>
    <xf numFmtId="0" fontId="0" fillId="0" borderId="35" xfId="0" applyBorder="1" applyAlignment="1">
      <alignment horizontal="center"/>
    </xf>
    <xf numFmtId="14" fontId="0" fillId="0" borderId="35" xfId="0" applyNumberFormat="1" applyBorder="1" applyAlignment="1">
      <alignment horizontal="center"/>
    </xf>
    <xf numFmtId="1" fontId="0" fillId="0" borderId="35" xfId="0" applyNumberFormat="1" applyBorder="1" applyAlignment="1">
      <alignment horizontal="center"/>
    </xf>
    <xf numFmtId="1" fontId="0" fillId="0" borderId="42" xfId="0" applyNumberFormat="1" applyBorder="1"/>
    <xf numFmtId="0" fontId="0" fillId="0" borderId="26" xfId="0" applyBorder="1" applyAlignment="1">
      <alignment horizontal="center"/>
    </xf>
    <xf numFmtId="14" fontId="0" fillId="0" borderId="1" xfId="0" applyNumberFormat="1" applyBorder="1" applyAlignment="1">
      <alignment horizontal="center"/>
    </xf>
    <xf numFmtId="1" fontId="0" fillId="0" borderId="1" xfId="0" applyNumberFormat="1" applyBorder="1" applyAlignment="1">
      <alignment horizontal="center"/>
    </xf>
    <xf numFmtId="1" fontId="0" fillId="0" borderId="36" xfId="0" applyNumberFormat="1" applyBorder="1"/>
    <xf numFmtId="0" fontId="0" fillId="0" borderId="30" xfId="0" applyBorder="1" applyAlignment="1">
      <alignment horizontal="center"/>
    </xf>
    <xf numFmtId="0" fontId="0" fillId="0" borderId="5" xfId="0" applyBorder="1" applyAlignment="1">
      <alignment horizontal="center"/>
    </xf>
    <xf numFmtId="14" fontId="0" fillId="0" borderId="5" xfId="0" applyNumberFormat="1" applyBorder="1" applyAlignment="1">
      <alignment horizontal="center"/>
    </xf>
    <xf numFmtId="1" fontId="0" fillId="0" borderId="37" xfId="0" applyNumberFormat="1" applyBorder="1"/>
    <xf numFmtId="0" fontId="0" fillId="0" borderId="38" xfId="0" applyBorder="1" applyAlignment="1">
      <alignment horizontal="center"/>
    </xf>
    <xf numFmtId="0" fontId="0" fillId="0" borderId="39" xfId="0" applyBorder="1" applyAlignment="1">
      <alignment horizontal="center"/>
    </xf>
    <xf numFmtId="14" fontId="0" fillId="0" borderId="39" xfId="0" applyNumberFormat="1" applyBorder="1" applyAlignment="1">
      <alignment horizontal="center"/>
    </xf>
    <xf numFmtId="1" fontId="0" fillId="0" borderId="39" xfId="0" applyNumberFormat="1" applyBorder="1" applyAlignment="1">
      <alignment horizontal="center"/>
    </xf>
    <xf numFmtId="1" fontId="0" fillId="0" borderId="40" xfId="0" applyNumberFormat="1" applyBorder="1"/>
    <xf numFmtId="0" fontId="0" fillId="0" borderId="25" xfId="0" applyBorder="1" applyAlignment="1">
      <alignment horizontal="center"/>
    </xf>
    <xf numFmtId="0" fontId="0" fillId="0" borderId="46" xfId="0" applyBorder="1" applyAlignment="1">
      <alignment horizontal="center"/>
    </xf>
    <xf numFmtId="8" fontId="0" fillId="0" borderId="0" xfId="0" applyNumberFormat="1"/>
    <xf numFmtId="0" fontId="0" fillId="0" borderId="11" xfId="0" applyBorder="1"/>
    <xf numFmtId="0" fontId="0" fillId="0" borderId="22" xfId="0" applyBorder="1"/>
    <xf numFmtId="0" fontId="0" fillId="0" borderId="7" xfId="0" applyBorder="1"/>
    <xf numFmtId="0" fontId="0" fillId="0" borderId="8" xfId="0" applyBorder="1"/>
    <xf numFmtId="10" fontId="0" fillId="0" borderId="1" xfId="0" applyNumberFormat="1" applyBorder="1" applyAlignment="1">
      <alignment horizontal="center"/>
    </xf>
    <xf numFmtId="0" fontId="0" fillId="0" borderId="27" xfId="0" quotePrefix="1" applyBorder="1"/>
    <xf numFmtId="9" fontId="0" fillId="0" borderId="28" xfId="0" applyNumberFormat="1" applyBorder="1" applyAlignment="1">
      <alignment horizontal="center"/>
    </xf>
    <xf numFmtId="0" fontId="0" fillId="0" borderId="28" xfId="0" applyBorder="1" applyAlignment="1">
      <alignment horizontal="center"/>
    </xf>
    <xf numFmtId="0" fontId="0" fillId="0" borderId="23" xfId="0" applyBorder="1"/>
    <xf numFmtId="0" fontId="0" fillId="0" borderId="7" xfId="0" applyBorder="1" applyAlignment="1">
      <alignment horizontal="center"/>
    </xf>
    <xf numFmtId="0" fontId="0" fillId="0" borderId="26" xfId="0" quotePrefix="1" applyBorder="1"/>
    <xf numFmtId="9" fontId="0" fillId="0" borderId="1" xfId="0" applyNumberFormat="1" applyBorder="1" applyAlignment="1">
      <alignment horizontal="center"/>
    </xf>
    <xf numFmtId="0" fontId="0" fillId="0" borderId="2" xfId="0" applyBorder="1"/>
    <xf numFmtId="0" fontId="0" fillId="0" borderId="1" xfId="0" applyBorder="1" applyAlignment="1">
      <alignment horizontal="left"/>
    </xf>
    <xf numFmtId="1" fontId="0" fillId="0" borderId="0" xfId="0" applyNumberFormat="1" applyAlignment="1">
      <alignment horizontal="left"/>
    </xf>
    <xf numFmtId="0" fontId="0" fillId="0" borderId="0" xfId="0" applyAlignment="1">
      <alignment horizontal="left" indent="3"/>
    </xf>
    <xf numFmtId="0" fontId="26" fillId="0" borderId="0" xfId="0" applyFont="1"/>
    <xf numFmtId="0" fontId="27" fillId="0" borderId="0" xfId="0" applyFont="1"/>
    <xf numFmtId="0" fontId="26" fillId="0" borderId="0" xfId="0" applyFont="1" applyAlignment="1">
      <alignment horizontal="left"/>
    </xf>
    <xf numFmtId="0" fontId="26" fillId="0" borderId="1" xfId="0" applyFont="1" applyBorder="1"/>
    <xf numFmtId="0" fontId="28" fillId="0" borderId="1" xfId="0" applyFont="1" applyBorder="1"/>
    <xf numFmtId="0" fontId="28" fillId="0" borderId="0" xfId="0" applyFont="1" applyAlignment="1">
      <alignment horizontal="right"/>
    </xf>
    <xf numFmtId="0" fontId="30" fillId="0" borderId="0" xfId="0" applyFont="1" applyAlignment="1">
      <alignment horizontal="left"/>
    </xf>
    <xf numFmtId="0" fontId="28" fillId="0" borderId="0" xfId="0" applyFont="1"/>
    <xf numFmtId="1" fontId="28" fillId="3" borderId="11" xfId="0" applyNumberFormat="1" applyFont="1" applyFill="1" applyBorder="1"/>
    <xf numFmtId="0" fontId="28" fillId="3" borderId="11" xfId="0" applyFont="1" applyFill="1" applyBorder="1" applyAlignment="1">
      <alignment horizontal="center"/>
    </xf>
    <xf numFmtId="1" fontId="28" fillId="3" borderId="7" xfId="0" applyNumberFormat="1" applyFont="1" applyFill="1" applyBorder="1"/>
    <xf numFmtId="0" fontId="28" fillId="3" borderId="7" xfId="0" applyFont="1" applyFill="1" applyBorder="1" applyAlignment="1">
      <alignment horizontal="center"/>
    </xf>
    <xf numFmtId="0" fontId="28" fillId="0" borderId="1" xfId="0" applyFont="1" applyBorder="1" applyAlignment="1">
      <alignment horizontal="center" vertical="center" wrapText="1"/>
    </xf>
    <xf numFmtId="3" fontId="26" fillId="0" borderId="1" xfId="0" applyNumberFormat="1" applyFont="1" applyBorder="1" applyAlignment="1">
      <alignment horizontal="center" vertical="center" wrapText="1"/>
    </xf>
    <xf numFmtId="167" fontId="26" fillId="0" borderId="1" xfId="2" applyNumberFormat="1" applyFont="1" applyBorder="1" applyAlignment="1">
      <alignment horizontal="center" vertical="center" wrapText="1"/>
    </xf>
    <xf numFmtId="0" fontId="28" fillId="0" borderId="0" xfId="0" applyFont="1" applyAlignment="1">
      <alignment horizontal="center"/>
    </xf>
    <xf numFmtId="0" fontId="26" fillId="0" borderId="5" xfId="0" applyFont="1" applyBorder="1" applyAlignment="1">
      <alignment horizontal="center" vertical="center" wrapText="1"/>
    </xf>
    <xf numFmtId="7" fontId="26" fillId="0" borderId="5" xfId="1" applyNumberFormat="1" applyFont="1" applyBorder="1" applyAlignment="1">
      <alignment horizontal="center" vertical="center"/>
    </xf>
    <xf numFmtId="7" fontId="26" fillId="0" borderId="1" xfId="1" applyNumberFormat="1" applyFont="1" applyBorder="1" applyAlignment="1">
      <alignment horizontal="center" vertical="center" wrapText="1"/>
    </xf>
    <xf numFmtId="7" fontId="26" fillId="0" borderId="1" xfId="1" applyNumberFormat="1" applyFont="1" applyBorder="1" applyAlignment="1">
      <alignment horizontal="center" vertical="center"/>
    </xf>
    <xf numFmtId="7" fontId="26" fillId="0" borderId="4" xfId="1" applyNumberFormat="1" applyFont="1" applyBorder="1" applyAlignment="1">
      <alignment horizontal="center" vertical="center" wrapText="1"/>
    </xf>
    <xf numFmtId="0" fontId="31" fillId="0" borderId="0" xfId="0" applyFont="1"/>
    <xf numFmtId="0" fontId="3" fillId="0" borderId="0" xfId="0" applyFont="1"/>
    <xf numFmtId="0" fontId="32" fillId="0" borderId="0" xfId="0" applyFont="1"/>
    <xf numFmtId="0" fontId="28" fillId="2" borderId="1" xfId="0" applyFont="1" applyFill="1" applyBorder="1" applyAlignment="1">
      <alignment horizontal="center" vertical="center" wrapText="1"/>
    </xf>
    <xf numFmtId="0" fontId="26" fillId="0" borderId="1" xfId="0" applyFont="1" applyBorder="1" applyAlignment="1">
      <alignment horizontal="center"/>
    </xf>
    <xf numFmtId="1" fontId="26" fillId="0" borderId="1" xfId="1" applyNumberFormat="1" applyFont="1" applyBorder="1" applyAlignment="1">
      <alignment horizontal="center"/>
    </xf>
    <xf numFmtId="0" fontId="26" fillId="0" borderId="1" xfId="2" applyNumberFormat="1" applyFont="1" applyBorder="1"/>
    <xf numFmtId="0" fontId="26" fillId="0" borderId="1" xfId="3" applyNumberFormat="1" applyFont="1" applyBorder="1" applyAlignment="1">
      <alignment horizontal="center"/>
    </xf>
    <xf numFmtId="0" fontId="21" fillId="0" borderId="0" xfId="0" applyFont="1"/>
    <xf numFmtId="0" fontId="26" fillId="0" borderId="5" xfId="0" applyFont="1" applyBorder="1" applyAlignment="1">
      <alignment horizontal="left"/>
    </xf>
    <xf numFmtId="0" fontId="26" fillId="0" borderId="6" xfId="0" applyFont="1" applyBorder="1" applyAlignment="1">
      <alignment horizontal="left"/>
    </xf>
    <xf numFmtId="0" fontId="26" fillId="0" borderId="7" xfId="0" applyFont="1" applyBorder="1"/>
    <xf numFmtId="0" fontId="26" fillId="0" borderId="1" xfId="0" quotePrefix="1" applyFont="1" applyBorder="1"/>
    <xf numFmtId="0" fontId="26" fillId="0" borderId="0" xfId="0" applyFont="1" applyAlignment="1">
      <alignment horizontal="right"/>
    </xf>
    <xf numFmtId="1" fontId="26" fillId="0" borderId="0" xfId="0" applyNumberFormat="1" applyFont="1"/>
    <xf numFmtId="1" fontId="26" fillId="0" borderId="0" xfId="0" applyNumberFormat="1" applyFont="1" applyAlignment="1">
      <alignment horizontal="right"/>
    </xf>
    <xf numFmtId="0" fontId="33" fillId="0" borderId="0" xfId="0" applyFont="1"/>
    <xf numFmtId="4" fontId="26" fillId="0" borderId="0" xfId="0" applyNumberFormat="1" applyFont="1"/>
    <xf numFmtId="0" fontId="26" fillId="0" borderId="2" xfId="0" applyFont="1" applyBorder="1"/>
    <xf numFmtId="7" fontId="28" fillId="2" borderId="1" xfId="1" applyNumberFormat="1" applyFont="1" applyFill="1" applyBorder="1" applyAlignment="1">
      <alignment horizontal="center" vertical="center" wrapText="1"/>
    </xf>
    <xf numFmtId="7" fontId="28" fillId="0" borderId="0" xfId="1" applyNumberFormat="1" applyFont="1" applyAlignment="1">
      <alignment horizontal="center" vertical="center" wrapText="1"/>
    </xf>
    <xf numFmtId="7" fontId="26" fillId="0" borderId="0" xfId="1" applyNumberFormat="1" applyFont="1"/>
    <xf numFmtId="7" fontId="26" fillId="0" borderId="1" xfId="1" applyNumberFormat="1" applyFont="1" applyBorder="1" applyAlignment="1">
      <alignment horizontal="center"/>
    </xf>
    <xf numFmtId="168" fontId="26" fillId="0" borderId="1" xfId="1" applyNumberFormat="1" applyFont="1" applyBorder="1" applyAlignment="1">
      <alignment horizontal="center"/>
    </xf>
    <xf numFmtId="0" fontId="29" fillId="0" borderId="0" xfId="0" applyFont="1"/>
    <xf numFmtId="7" fontId="26" fillId="0" borderId="0" xfId="1" applyNumberFormat="1" applyFont="1" applyAlignment="1">
      <alignment horizontal="left"/>
    </xf>
    <xf numFmtId="44" fontId="26" fillId="0" borderId="0" xfId="2" applyFont="1" applyAlignment="1">
      <alignment horizontal="left"/>
    </xf>
    <xf numFmtId="1" fontId="26" fillId="0" borderId="0" xfId="1" applyNumberFormat="1" applyFont="1" applyAlignment="1">
      <alignment horizontal="left"/>
    </xf>
    <xf numFmtId="1" fontId="26" fillId="0" borderId="0" xfId="0" applyNumberFormat="1" applyFont="1" applyAlignment="1">
      <alignment horizontal="left"/>
    </xf>
    <xf numFmtId="0" fontId="26" fillId="0" borderId="0" xfId="0" applyFont="1" applyAlignment="1">
      <alignment horizontal="left" indent="1"/>
    </xf>
    <xf numFmtId="0" fontId="26" fillId="0" borderId="0" xfId="0" applyFont="1" applyAlignment="1">
      <alignment horizontal="left" indent="2"/>
    </xf>
    <xf numFmtId="0" fontId="26" fillId="0" borderId="0" xfId="0" applyFont="1" applyAlignment="1">
      <alignment horizontal="center"/>
    </xf>
    <xf numFmtId="0" fontId="33" fillId="0" borderId="0" xfId="0" applyFont="1" applyAlignment="1">
      <alignment horizontal="right"/>
    </xf>
    <xf numFmtId="0" fontId="28" fillId="0" borderId="0" xfId="0" applyFont="1" applyAlignment="1">
      <alignment horizontal="center" vertical="center"/>
    </xf>
    <xf numFmtId="7" fontId="28" fillId="2" borderId="0" xfId="1" applyNumberFormat="1" applyFont="1" applyFill="1" applyAlignment="1">
      <alignment horizontal="center" vertical="center"/>
    </xf>
    <xf numFmtId="7" fontId="26" fillId="3" borderId="0" xfId="1" applyNumberFormat="1" applyFont="1" applyFill="1"/>
    <xf numFmtId="0" fontId="26" fillId="0" borderId="0" xfId="1" applyNumberFormat="1" applyFont="1"/>
    <xf numFmtId="9" fontId="26" fillId="3" borderId="0" xfId="3" applyFont="1" applyFill="1"/>
    <xf numFmtId="9" fontId="26" fillId="3" borderId="0" xfId="1" applyNumberFormat="1" applyFont="1" applyFill="1"/>
    <xf numFmtId="0" fontId="28" fillId="2" borderId="0" xfId="0" quotePrefix="1" applyFont="1" applyFill="1" applyAlignment="1">
      <alignment horizontal="left"/>
    </xf>
    <xf numFmtId="0" fontId="28" fillId="2" borderId="0" xfId="0" quotePrefix="1" applyFont="1" applyFill="1"/>
    <xf numFmtId="167" fontId="26" fillId="3" borderId="0" xfId="0" applyNumberFormat="1" applyFont="1" applyFill="1"/>
    <xf numFmtId="167" fontId="26" fillId="3" borderId="0" xfId="2" applyNumberFormat="1" applyFont="1" applyFill="1"/>
    <xf numFmtId="0" fontId="28" fillId="2" borderId="0" xfId="0" applyFont="1" applyFill="1" applyAlignment="1">
      <alignment horizontal="center" vertical="center"/>
    </xf>
    <xf numFmtId="0" fontId="28" fillId="2" borderId="0" xfId="0" applyFont="1" applyFill="1" applyAlignment="1">
      <alignment horizontal="center" vertical="center" wrapText="1"/>
    </xf>
    <xf numFmtId="7" fontId="28" fillId="2" borderId="0" xfId="1" applyNumberFormat="1" applyFont="1" applyFill="1" applyAlignment="1">
      <alignment horizontal="center" vertical="center" wrapText="1"/>
    </xf>
    <xf numFmtId="0" fontId="28" fillId="2" borderId="0" xfId="0" applyFont="1" applyFill="1"/>
    <xf numFmtId="0" fontId="26" fillId="3" borderId="0" xfId="1" applyNumberFormat="1" applyFont="1" applyFill="1" applyAlignment="1">
      <alignment horizontal="center"/>
    </xf>
    <xf numFmtId="0" fontId="26" fillId="3" borderId="0" xfId="0" applyFont="1" applyFill="1" applyAlignment="1">
      <alignment horizontal="center"/>
    </xf>
    <xf numFmtId="2" fontId="26" fillId="0" borderId="1" xfId="1" applyNumberFormat="1" applyFont="1" applyBorder="1" applyAlignment="1">
      <alignment horizontal="center"/>
    </xf>
    <xf numFmtId="169" fontId="26" fillId="0" borderId="1" xfId="1" applyNumberFormat="1" applyFont="1" applyBorder="1" applyAlignment="1">
      <alignment horizontal="center"/>
    </xf>
    <xf numFmtId="2" fontId="26" fillId="0" borderId="1" xfId="0" applyNumberFormat="1" applyFont="1" applyBorder="1" applyAlignment="1">
      <alignment horizontal="center"/>
    </xf>
    <xf numFmtId="169" fontId="26" fillId="0" borderId="1" xfId="0" applyNumberFormat="1" applyFont="1" applyBorder="1" applyAlignment="1">
      <alignment horizontal="center"/>
    </xf>
    <xf numFmtId="167" fontId="10" fillId="0" borderId="0" xfId="0" applyNumberFormat="1" applyFont="1"/>
    <xf numFmtId="0" fontId="3" fillId="0" borderId="1" xfId="0" applyFont="1" applyBorder="1"/>
    <xf numFmtId="0" fontId="3" fillId="3" borderId="1" xfId="0" applyFont="1" applyFill="1" applyBorder="1" applyAlignment="1">
      <alignment horizontal="center"/>
    </xf>
    <xf numFmtId="172" fontId="3" fillId="3" borderId="1" xfId="3" applyNumberFormat="1" applyFont="1" applyFill="1" applyBorder="1" applyAlignment="1">
      <alignment horizontal="center"/>
    </xf>
    <xf numFmtId="7" fontId="3" fillId="0" borderId="1" xfId="1" applyNumberFormat="1" applyFont="1" applyBorder="1" applyAlignment="1">
      <alignment horizontal="center"/>
    </xf>
    <xf numFmtId="9" fontId="3" fillId="3" borderId="1" xfId="3" applyFont="1" applyFill="1" applyBorder="1" applyAlignment="1">
      <alignment horizontal="center"/>
    </xf>
    <xf numFmtId="0" fontId="0" fillId="0" borderId="1" xfId="0" applyBorder="1" applyAlignment="1">
      <alignment horizontal="left" indent="1"/>
    </xf>
    <xf numFmtId="0" fontId="0" fillId="0" borderId="1" xfId="0" quotePrefix="1" applyBorder="1" applyAlignment="1">
      <alignment horizontal="left" indent="1"/>
    </xf>
    <xf numFmtId="172" fontId="0" fillId="0" borderId="1" xfId="0" applyNumberFormat="1" applyBorder="1" applyAlignment="1">
      <alignment horizontal="center"/>
    </xf>
    <xf numFmtId="0" fontId="34" fillId="0" borderId="0" xfId="0" applyFont="1"/>
    <xf numFmtId="0" fontId="3" fillId="0" borderId="0" xfId="0" applyFont="1" applyAlignment="1">
      <alignment horizontal="left"/>
    </xf>
    <xf numFmtId="49" fontId="3" fillId="0" borderId="0" xfId="0" applyNumberFormat="1" applyFont="1" applyAlignment="1">
      <alignment horizontal="left"/>
    </xf>
    <xf numFmtId="49" fontId="3" fillId="0" borderId="0" xfId="0" applyNumberFormat="1" applyFont="1" applyAlignment="1">
      <alignment horizontal="center" wrapText="1"/>
    </xf>
    <xf numFmtId="0" fontId="3" fillId="0" borderId="0" xfId="0" applyFont="1" applyAlignment="1">
      <alignment horizontal="center" wrapText="1"/>
    </xf>
    <xf numFmtId="0" fontId="35" fillId="0" borderId="0" xfId="0" applyFont="1" applyAlignment="1">
      <alignment horizontal="left"/>
    </xf>
    <xf numFmtId="0" fontId="3" fillId="3" borderId="1" xfId="0" applyFont="1" applyFill="1" applyBorder="1" applyAlignment="1">
      <alignment horizontal="center" wrapText="1"/>
    </xf>
    <xf numFmtId="0" fontId="36" fillId="0" borderId="0" xfId="0" applyFont="1"/>
    <xf numFmtId="0" fontId="25" fillId="0" borderId="0" xfId="0" applyFont="1"/>
    <xf numFmtId="0" fontId="3" fillId="3" borderId="1" xfId="0" applyFont="1" applyFill="1" applyBorder="1" applyAlignment="1">
      <alignment horizontal="center" vertical="center" wrapText="1"/>
    </xf>
    <xf numFmtId="0" fontId="37" fillId="0" borderId="0" xfId="0" applyFont="1"/>
    <xf numFmtId="0" fontId="3" fillId="3" borderId="3" xfId="0" applyFont="1" applyFill="1" applyBorder="1" applyAlignment="1">
      <alignment horizontal="center" wrapText="1"/>
    </xf>
    <xf numFmtId="3" fontId="3" fillId="0" borderId="3" xfId="0" applyNumberFormat="1" applyFont="1" applyBorder="1" applyAlignment="1">
      <alignment horizontal="center"/>
    </xf>
    <xf numFmtId="3" fontId="3" fillId="0" borderId="3" xfId="1" applyNumberFormat="1" applyFont="1" applyBorder="1" applyAlignment="1">
      <alignment horizontal="center"/>
    </xf>
    <xf numFmtId="0" fontId="38" fillId="0" borderId="0" xfId="0" applyFont="1"/>
    <xf numFmtId="0" fontId="40" fillId="0" borderId="0" xfId="0" applyFont="1"/>
    <xf numFmtId="167" fontId="43" fillId="0" borderId="1" xfId="0" applyNumberFormat="1" applyFont="1" applyBorder="1"/>
    <xf numFmtId="0" fontId="8" fillId="0" borderId="1" xfId="0" applyFont="1" applyBorder="1" applyAlignment="1">
      <alignment horizontal="center"/>
    </xf>
    <xf numFmtId="167" fontId="44" fillId="0" borderId="1" xfId="0" applyNumberFormat="1" applyFont="1" applyBorder="1"/>
    <xf numFmtId="0" fontId="28" fillId="3" borderId="1" xfId="0" applyFont="1" applyFill="1" applyBorder="1" applyAlignment="1">
      <alignment horizontal="center" vertical="center" wrapText="1"/>
    </xf>
    <xf numFmtId="0" fontId="28" fillId="3" borderId="1" xfId="0" applyFont="1" applyFill="1" applyBorder="1" applyAlignment="1">
      <alignment horizontal="left" wrapText="1"/>
    </xf>
    <xf numFmtId="0" fontId="28" fillId="3" borderId="1" xfId="0" applyFont="1" applyFill="1" applyBorder="1" applyAlignment="1">
      <alignment horizontal="right"/>
    </xf>
    <xf numFmtId="0" fontId="26" fillId="3" borderId="1" xfId="0" applyFont="1" applyFill="1" applyBorder="1"/>
    <xf numFmtId="0" fontId="0" fillId="3" borderId="1" xfId="0" applyFill="1" applyBorder="1"/>
    <xf numFmtId="169" fontId="0" fillId="0" borderId="0" xfId="0" applyNumberFormat="1"/>
    <xf numFmtId="0" fontId="7" fillId="3" borderId="1" xfId="0" applyFont="1" applyFill="1" applyBorder="1" applyAlignment="1">
      <alignment horizontal="center" vertical="center" wrapText="1"/>
    </xf>
    <xf numFmtId="0" fontId="7" fillId="3" borderId="1" xfId="0" applyFont="1" applyFill="1" applyBorder="1" applyAlignment="1">
      <alignment horizontal="right"/>
    </xf>
    <xf numFmtId="4" fontId="7" fillId="3" borderId="1" xfId="0" applyNumberFormat="1" applyFont="1" applyFill="1" applyBorder="1" applyAlignment="1">
      <alignment horizontal="center"/>
    </xf>
    <xf numFmtId="0" fontId="0" fillId="0" borderId="0" xfId="0" applyAlignment="1">
      <alignment horizontal="left" indent="4"/>
    </xf>
    <xf numFmtId="0" fontId="0" fillId="0" borderId="0" xfId="0" applyAlignment="1">
      <alignment vertical="top"/>
    </xf>
    <xf numFmtId="0" fontId="19" fillId="0" borderId="0" xfId="0" applyFont="1" applyAlignment="1">
      <alignment horizontal="right"/>
    </xf>
    <xf numFmtId="0" fontId="0" fillId="3" borderId="13" xfId="0" applyFill="1" applyBorder="1" applyAlignment="1">
      <alignment horizontal="center"/>
    </xf>
    <xf numFmtId="167" fontId="3" fillId="3" borderId="1" xfId="1" applyNumberFormat="1" applyFont="1" applyFill="1" applyBorder="1" applyAlignment="1">
      <alignment horizontal="center"/>
    </xf>
    <xf numFmtId="167" fontId="0" fillId="0" borderId="1" xfId="0" applyNumberFormat="1" applyBorder="1" applyAlignment="1">
      <alignment horizontal="right"/>
    </xf>
    <xf numFmtId="167" fontId="5" fillId="0" borderId="1" xfId="0" applyNumberFormat="1" applyFont="1" applyBorder="1" applyAlignment="1">
      <alignment horizontal="right"/>
    </xf>
    <xf numFmtId="0" fontId="5" fillId="0" borderId="1" xfId="0" applyFont="1" applyBorder="1" applyAlignment="1">
      <alignment horizontal="left" indent="1"/>
    </xf>
    <xf numFmtId="0" fontId="5" fillId="0" borderId="1" xfId="0" applyFont="1" applyBorder="1" applyAlignment="1">
      <alignment horizontal="right"/>
    </xf>
    <xf numFmtId="0" fontId="35"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35" fillId="0" borderId="0" xfId="0" applyFont="1" applyAlignment="1">
      <alignment horizontal="right"/>
    </xf>
    <xf numFmtId="0" fontId="3" fillId="0" borderId="14" xfId="0" applyFont="1" applyBorder="1" applyAlignment="1">
      <alignment horizontal="left" indent="1"/>
    </xf>
    <xf numFmtId="0" fontId="35" fillId="0" borderId="15" xfId="0" applyFont="1" applyBorder="1" applyAlignment="1">
      <alignment horizontal="center"/>
    </xf>
    <xf numFmtId="0" fontId="35" fillId="0" borderId="16" xfId="0" applyFont="1" applyBorder="1" applyAlignment="1">
      <alignment horizontal="center"/>
    </xf>
    <xf numFmtId="0" fontId="3" fillId="0" borderId="17" xfId="0" applyFont="1" applyBorder="1" applyAlignment="1">
      <alignment horizontal="left" indent="1"/>
    </xf>
    <xf numFmtId="0" fontId="35" fillId="0" borderId="18" xfId="0" applyFont="1" applyBorder="1" applyAlignment="1">
      <alignment horizontal="center"/>
    </xf>
    <xf numFmtId="0" fontId="3" fillId="0" borderId="18" xfId="0" applyFont="1" applyBorder="1" applyAlignment="1">
      <alignment horizontal="right"/>
    </xf>
    <xf numFmtId="0" fontId="3" fillId="0" borderId="17" xfId="0" quotePrefix="1" applyFont="1" applyBorder="1" applyAlignment="1">
      <alignment horizontal="left" indent="1"/>
    </xf>
    <xf numFmtId="0" fontId="35" fillId="0" borderId="17" xfId="0" quotePrefix="1" applyFont="1" applyBorder="1" applyAlignment="1">
      <alignment horizontal="left" indent="1"/>
    </xf>
    <xf numFmtId="0" fontId="35" fillId="0" borderId="18" xfId="0" applyFont="1" applyBorder="1" applyAlignment="1">
      <alignment horizontal="right"/>
    </xf>
    <xf numFmtId="0" fontId="35" fillId="0" borderId="17" xfId="0" applyFont="1" applyBorder="1" applyAlignment="1">
      <alignment horizontal="left" indent="1"/>
    </xf>
    <xf numFmtId="0" fontId="35" fillId="0" borderId="19" xfId="0" applyFont="1" applyBorder="1" applyAlignment="1">
      <alignment horizontal="left" indent="1"/>
    </xf>
    <xf numFmtId="0" fontId="3" fillId="0" borderId="20" xfId="0" applyFont="1" applyBorder="1" applyAlignment="1">
      <alignment horizontal="center"/>
    </xf>
    <xf numFmtId="0" fontId="35" fillId="0" borderId="20" xfId="0" applyFont="1" applyBorder="1" applyAlignment="1">
      <alignment horizontal="right"/>
    </xf>
    <xf numFmtId="0" fontId="35" fillId="0" borderId="20" xfId="0" applyFont="1" applyBorder="1" applyAlignment="1">
      <alignment horizontal="center"/>
    </xf>
    <xf numFmtId="0" fontId="35" fillId="0" borderId="21" xfId="0" applyFont="1" applyBorder="1" applyAlignment="1">
      <alignment horizontal="right"/>
    </xf>
    <xf numFmtId="0" fontId="3" fillId="0" borderId="17" xfId="0" quotePrefix="1" applyFont="1" applyBorder="1" applyAlignment="1">
      <alignment horizontal="left"/>
    </xf>
    <xf numFmtId="0" fontId="43" fillId="0" borderId="0" xfId="0" applyFont="1"/>
    <xf numFmtId="0" fontId="8" fillId="0" borderId="0" xfId="0" applyFont="1" applyAlignment="1">
      <alignment horizontal="center"/>
    </xf>
    <xf numFmtId="0" fontId="43" fillId="0" borderId="0" xfId="0" applyFont="1" applyAlignment="1">
      <alignment horizontal="center"/>
    </xf>
    <xf numFmtId="0" fontId="23" fillId="0" borderId="0" xfId="0" applyFont="1"/>
    <xf numFmtId="0" fontId="7" fillId="4" borderId="1" xfId="0" applyFont="1" applyFill="1" applyBorder="1"/>
    <xf numFmtId="167" fontId="0" fillId="4" borderId="1" xfId="0" applyNumberFormat="1" applyFill="1" applyBorder="1"/>
    <xf numFmtId="167" fontId="0" fillId="4" borderId="1" xfId="1" applyNumberFormat="1" applyFont="1" applyFill="1" applyBorder="1"/>
    <xf numFmtId="167" fontId="5" fillId="4" borderId="1" xfId="0" applyNumberFormat="1" applyFont="1" applyFill="1" applyBorder="1"/>
    <xf numFmtId="167" fontId="5" fillId="4" borderId="1" xfId="1" applyNumberFormat="1" applyFont="1" applyFill="1" applyBorder="1"/>
    <xf numFmtId="0" fontId="35" fillId="0" borderId="0" xfId="0" applyFont="1"/>
    <xf numFmtId="0" fontId="47" fillId="0" borderId="0" xfId="0" applyFont="1"/>
    <xf numFmtId="44" fontId="34" fillId="0" borderId="0" xfId="2" applyFont="1"/>
    <xf numFmtId="0" fontId="34" fillId="0" borderId="0" xfId="0" applyFont="1" applyAlignment="1">
      <alignment horizontal="left"/>
    </xf>
    <xf numFmtId="0" fontId="34" fillId="0" borderId="0" xfId="0" applyFont="1" applyAlignment="1">
      <alignment horizontal="center"/>
    </xf>
    <xf numFmtId="44" fontId="34" fillId="0" borderId="0" xfId="2" applyFont="1" applyAlignment="1">
      <alignment horizontal="center"/>
    </xf>
    <xf numFmtId="44" fontId="26" fillId="0" borderId="0" xfId="0" applyNumberFormat="1" applyFont="1" applyAlignment="1">
      <alignment horizontal="center"/>
    </xf>
    <xf numFmtId="44" fontId="26" fillId="0" borderId="0" xfId="2" applyFont="1" applyAlignment="1">
      <alignment horizontal="center"/>
    </xf>
    <xf numFmtId="0" fontId="0" fillId="0" borderId="0" xfId="0" applyAlignment="1">
      <alignment horizontal="center" vertical="center"/>
    </xf>
    <xf numFmtId="0" fontId="26" fillId="4" borderId="0" xfId="0" applyFont="1" applyFill="1" applyAlignment="1">
      <alignment horizontal="center" vertical="center"/>
    </xf>
    <xf numFmtId="0" fontId="26" fillId="4" borderId="0" xfId="0" applyFont="1" applyFill="1" applyAlignment="1">
      <alignment horizontal="center" vertical="center" wrapText="1"/>
    </xf>
    <xf numFmtId="0" fontId="48" fillId="0" borderId="0" xfId="0" applyFont="1"/>
    <xf numFmtId="0" fontId="0" fillId="6" borderId="0" xfId="0" applyFill="1" applyAlignment="1">
      <alignment horizontal="left" indent="1"/>
    </xf>
    <xf numFmtId="168" fontId="3" fillId="0" borderId="1" xfId="1" applyNumberFormat="1" applyFont="1" applyBorder="1" applyAlignment="1">
      <alignment horizontal="center"/>
    </xf>
    <xf numFmtId="7" fontId="3" fillId="0" borderId="0" xfId="1" applyNumberFormat="1" applyFont="1"/>
    <xf numFmtId="172" fontId="10" fillId="0" borderId="0" xfId="3" applyNumberFormat="1" applyFont="1"/>
    <xf numFmtId="0" fontId="49" fillId="0" borderId="0" xfId="0" applyFont="1" applyAlignment="1">
      <alignment horizontal="left"/>
    </xf>
    <xf numFmtId="49" fontId="7" fillId="0" borderId="0" xfId="0" applyNumberFormat="1" applyFont="1" applyAlignment="1">
      <alignment horizontal="center" vertical="center"/>
    </xf>
    <xf numFmtId="4" fontId="26" fillId="0" borderId="2" xfId="0" applyNumberFormat="1" applyFont="1" applyBorder="1"/>
    <xf numFmtId="172" fontId="0" fillId="0" borderId="2" xfId="4" applyNumberFormat="1" applyFont="1" applyBorder="1"/>
    <xf numFmtId="172" fontId="0" fillId="0" borderId="0" xfId="4" applyNumberFormat="1" applyFont="1"/>
    <xf numFmtId="4" fontId="0" fillId="0" borderId="2" xfId="0" applyNumberFormat="1" applyBorder="1"/>
    <xf numFmtId="4" fontId="26" fillId="7" borderId="0" xfId="0" applyNumberFormat="1" applyFont="1" applyFill="1"/>
    <xf numFmtId="4" fontId="26" fillId="7" borderId="2" xfId="0" applyNumberFormat="1" applyFont="1" applyFill="1" applyBorder="1"/>
    <xf numFmtId="0" fontId="26" fillId="7" borderId="2" xfId="0" applyFont="1" applyFill="1" applyBorder="1"/>
    <xf numFmtId="0" fontId="26" fillId="7" borderId="0" xfId="0" applyFont="1" applyFill="1"/>
    <xf numFmtId="0" fontId="0" fillId="0" borderId="17" xfId="0" applyBorder="1" applyAlignment="1">
      <alignment horizontal="left" indent="1"/>
    </xf>
    <xf numFmtId="0" fontId="5" fillId="0" borderId="18" xfId="0" applyFont="1" applyBorder="1"/>
    <xf numFmtId="3" fontId="0" fillId="0" borderId="0" xfId="0" applyNumberFormat="1" applyAlignment="1">
      <alignment horizontal="right"/>
    </xf>
    <xf numFmtId="8" fontId="0" fillId="0" borderId="0" xfId="0" applyNumberFormat="1" applyAlignment="1">
      <alignment horizontal="center"/>
    </xf>
    <xf numFmtId="8" fontId="10" fillId="0" borderId="0" xfId="0" applyNumberFormat="1" applyFont="1" applyAlignment="1">
      <alignment horizontal="center"/>
    </xf>
    <xf numFmtId="0" fontId="10" fillId="0" borderId="0" xfId="0" applyFont="1"/>
    <xf numFmtId="0" fontId="0" fillId="0" borderId="0" xfId="0" applyAlignment="1">
      <alignmen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40" xfId="0" applyBorder="1"/>
    <xf numFmtId="0" fontId="0" fillId="0" borderId="39" xfId="0" applyBorder="1"/>
    <xf numFmtId="9" fontId="0" fillId="0" borderId="39" xfId="3" applyFont="1" applyBorder="1"/>
    <xf numFmtId="0" fontId="10" fillId="0" borderId="38" xfId="0" applyFont="1" applyBorder="1"/>
    <xf numFmtId="0" fontId="0" fillId="0" borderId="36" xfId="0" applyBorder="1"/>
    <xf numFmtId="0" fontId="10" fillId="0" borderId="1" xfId="0" applyFont="1" applyBorder="1"/>
    <xf numFmtId="172" fontId="10" fillId="0" borderId="1" xfId="3" applyNumberFormat="1" applyFont="1" applyBorder="1"/>
    <xf numFmtId="0" fontId="10" fillId="0" borderId="26" xfId="0" applyFont="1" applyBorder="1"/>
    <xf numFmtId="167" fontId="10" fillId="0" borderId="1" xfId="0" applyNumberFormat="1" applyFont="1" applyBorder="1"/>
    <xf numFmtId="167" fontId="0" fillId="0" borderId="36" xfId="0" applyNumberFormat="1" applyBorder="1"/>
    <xf numFmtId="0" fontId="0" fillId="4" borderId="42" xfId="0" applyFill="1" applyBorder="1" applyAlignment="1">
      <alignment horizontal="center" vertical="center"/>
    </xf>
    <xf numFmtId="0" fontId="0" fillId="4" borderId="35" xfId="0" applyFill="1" applyBorder="1" applyAlignment="1">
      <alignment horizontal="center" vertical="center"/>
    </xf>
    <xf numFmtId="0" fontId="0" fillId="4" borderId="0" xfId="0" applyFill="1" applyAlignment="1">
      <alignment horizontal="center" vertical="center"/>
    </xf>
    <xf numFmtId="0" fontId="10" fillId="0" borderId="0" xfId="3" applyNumberFormat="1" applyFont="1" applyBorder="1"/>
    <xf numFmtId="0" fontId="0" fillId="0" borderId="0" xfId="3" applyNumberFormat="1" applyFont="1" applyBorder="1"/>
    <xf numFmtId="0" fontId="26" fillId="0" borderId="1" xfId="3" applyNumberFormat="1" applyFont="1" applyBorder="1"/>
    <xf numFmtId="167" fontId="28" fillId="0" borderId="1" xfId="0" applyNumberFormat="1" applyFont="1" applyBorder="1"/>
    <xf numFmtId="167" fontId="28" fillId="0" borderId="1" xfId="0" quotePrefix="1" applyNumberFormat="1" applyFont="1" applyBorder="1"/>
    <xf numFmtId="9" fontId="28" fillId="0" borderId="1" xfId="3" applyFont="1" applyBorder="1"/>
    <xf numFmtId="167" fontId="28" fillId="0" borderId="7" xfId="0" applyNumberFormat="1" applyFont="1" applyBorder="1"/>
    <xf numFmtId="0" fontId="29" fillId="0" borderId="6" xfId="0" applyFont="1" applyBorder="1" applyAlignment="1">
      <alignment horizontal="left"/>
    </xf>
    <xf numFmtId="0" fontId="29" fillId="0" borderId="5" xfId="0" applyFont="1" applyBorder="1" applyAlignment="1">
      <alignment horizontal="left"/>
    </xf>
    <xf numFmtId="0" fontId="28" fillId="4" borderId="1" xfId="0" applyFont="1" applyFill="1" applyBorder="1" applyAlignment="1">
      <alignment horizontal="center" vertical="center" wrapText="1"/>
    </xf>
    <xf numFmtId="3" fontId="0" fillId="0" borderId="1" xfId="5" applyNumberFormat="1" applyFont="1" applyBorder="1" applyAlignment="1">
      <alignment horizontal="center"/>
    </xf>
    <xf numFmtId="0" fontId="28" fillId="0" borderId="1" xfId="0" applyFont="1" applyBorder="1" applyAlignment="1">
      <alignment horizontal="center"/>
    </xf>
    <xf numFmtId="167" fontId="0" fillId="0" borderId="1" xfId="2" applyNumberFormat="1" applyFont="1" applyBorder="1" applyAlignment="1">
      <alignment vertical="center"/>
    </xf>
    <xf numFmtId="167" fontId="26" fillId="0" borderId="1" xfId="2" applyNumberFormat="1" applyFont="1" applyBorder="1"/>
    <xf numFmtId="167" fontId="0" fillId="0" borderId="1" xfId="2" applyNumberFormat="1" applyFont="1" applyBorder="1"/>
    <xf numFmtId="9" fontId="0" fillId="0" borderId="1" xfId="3" applyFont="1" applyBorder="1" applyAlignment="1">
      <alignment horizontal="center"/>
    </xf>
    <xf numFmtId="172" fontId="26" fillId="0" borderId="1" xfId="3" applyNumberFormat="1" applyFont="1" applyBorder="1" applyAlignment="1">
      <alignment horizontal="center"/>
    </xf>
    <xf numFmtId="0" fontId="26" fillId="4" borderId="9" xfId="0" applyFont="1" applyFill="1" applyBorder="1" applyAlignment="1">
      <alignment horizontal="center" vertical="center" wrapText="1"/>
    </xf>
    <xf numFmtId="7" fontId="26" fillId="4" borderId="6" xfId="1" applyNumberFormat="1" applyFont="1" applyFill="1" applyBorder="1" applyAlignment="1">
      <alignment horizontal="center" vertical="center"/>
    </xf>
    <xf numFmtId="0" fontId="26" fillId="4" borderId="12" xfId="0" applyFont="1" applyFill="1" applyBorder="1" applyAlignment="1">
      <alignment horizontal="center" vertical="center" wrapText="1"/>
    </xf>
    <xf numFmtId="7" fontId="26" fillId="4" borderId="8" xfId="1" applyNumberFormat="1" applyFont="1" applyFill="1" applyBorder="1" applyAlignment="1">
      <alignment horizontal="center" vertical="center"/>
    </xf>
    <xf numFmtId="7" fontId="0" fillId="0" borderId="0" xfId="0" applyNumberFormat="1"/>
    <xf numFmtId="0" fontId="34" fillId="0" borderId="1" xfId="0" applyFont="1" applyBorder="1" applyAlignment="1">
      <alignment horizontal="center"/>
    </xf>
    <xf numFmtId="7" fontId="51" fillId="0" borderId="24" xfId="1" applyNumberFormat="1" applyFont="1" applyFill="1" applyBorder="1" applyAlignment="1">
      <alignment horizontal="center" vertical="center" wrapText="1"/>
    </xf>
    <xf numFmtId="7" fontId="0" fillId="0" borderId="24" xfId="0" applyNumberFormat="1" applyBorder="1" applyAlignment="1">
      <alignment horizontal="center"/>
    </xf>
    <xf numFmtId="7" fontId="0" fillId="0" borderId="29" xfId="0" applyNumberFormat="1" applyBorder="1" applyAlignment="1">
      <alignment horizontal="center"/>
    </xf>
    <xf numFmtId="0" fontId="5" fillId="0" borderId="0" xfId="0" applyFont="1" applyAlignment="1">
      <alignment horizontal="left"/>
    </xf>
    <xf numFmtId="0" fontId="19" fillId="0" borderId="4" xfId="0" applyFont="1" applyBorder="1" applyAlignment="1">
      <alignment horizontal="center"/>
    </xf>
    <xf numFmtId="7" fontId="0" fillId="0" borderId="4" xfId="0" applyNumberFormat="1" applyBorder="1" applyAlignment="1">
      <alignment horizontal="center"/>
    </xf>
    <xf numFmtId="7" fontId="0" fillId="0" borderId="50" xfId="0" applyNumberFormat="1" applyBorder="1" applyAlignment="1">
      <alignment horizontal="center"/>
    </xf>
    <xf numFmtId="0" fontId="19" fillId="0" borderId="60" xfId="0" applyFont="1" applyBorder="1" applyAlignment="1">
      <alignment horizontal="center"/>
    </xf>
    <xf numFmtId="0" fontId="19" fillId="0" borderId="53" xfId="0" applyFont="1" applyBorder="1" applyAlignment="1">
      <alignment horizontal="center"/>
    </xf>
    <xf numFmtId="0" fontId="19" fillId="0" borderId="63" xfId="0" applyFont="1" applyBorder="1" applyAlignment="1">
      <alignment horizontal="center"/>
    </xf>
    <xf numFmtId="7" fontId="51" fillId="0" borderId="51" xfId="1" applyNumberFormat="1" applyFont="1" applyFill="1" applyBorder="1" applyAlignment="1">
      <alignment horizontal="center" vertical="center" wrapText="1"/>
    </xf>
    <xf numFmtId="7" fontId="0" fillId="0" borderId="63" xfId="0" applyNumberFormat="1" applyBorder="1" applyAlignment="1">
      <alignment horizontal="center"/>
    </xf>
    <xf numFmtId="7" fontId="0" fillId="0" borderId="51" xfId="0" applyNumberFormat="1" applyBorder="1" applyAlignment="1">
      <alignment horizontal="center"/>
    </xf>
    <xf numFmtId="7" fontId="0" fillId="0" borderId="64" xfId="0" applyNumberFormat="1" applyBorder="1" applyAlignment="1">
      <alignment horizontal="center"/>
    </xf>
    <xf numFmtId="7" fontId="0" fillId="0" borderId="52" xfId="0" applyNumberFormat="1" applyBorder="1" applyAlignment="1">
      <alignment horizontal="center"/>
    </xf>
    <xf numFmtId="3" fontId="0" fillId="0" borderId="53" xfId="0" applyNumberFormat="1" applyBorder="1" applyAlignment="1">
      <alignment horizontal="center"/>
    </xf>
    <xf numFmtId="3" fontId="0" fillId="0" borderId="54" xfId="0" applyNumberFormat="1" applyBorder="1" applyAlignment="1">
      <alignment horizontal="center"/>
    </xf>
    <xf numFmtId="167" fontId="0" fillId="0" borderId="28" xfId="0" applyNumberFormat="1" applyBorder="1" applyAlignment="1">
      <alignment horizontal="center"/>
    </xf>
    <xf numFmtId="0" fontId="5" fillId="0" borderId="26" xfId="0" applyFont="1" applyBorder="1"/>
    <xf numFmtId="167" fontId="0" fillId="0" borderId="36" xfId="0" applyNumberFormat="1" applyBorder="1" applyAlignment="1">
      <alignment horizontal="center"/>
    </xf>
    <xf numFmtId="167" fontId="0" fillId="0" borderId="45" xfId="0" applyNumberFormat="1" applyBorder="1" applyAlignment="1">
      <alignment horizontal="center"/>
    </xf>
    <xf numFmtId="167" fontId="0" fillId="0" borderId="43" xfId="0" applyNumberFormat="1" applyBorder="1" applyAlignment="1">
      <alignment horizontal="center"/>
    </xf>
    <xf numFmtId="167" fontId="0" fillId="0" borderId="40" xfId="0" applyNumberFormat="1" applyBorder="1" applyAlignment="1">
      <alignment horizontal="center"/>
    </xf>
    <xf numFmtId="0" fontId="45" fillId="0" borderId="0" xfId="0" applyFont="1" applyAlignment="1">
      <alignment horizontal="left" indent="1"/>
    </xf>
    <xf numFmtId="0" fontId="28" fillId="4" borderId="5" xfId="0" applyFont="1" applyFill="1" applyBorder="1" applyAlignment="1">
      <alignment horizontal="center" vertical="center" wrapText="1"/>
    </xf>
    <xf numFmtId="0" fontId="28" fillId="4" borderId="7" xfId="0" applyFont="1" applyFill="1" applyBorder="1" applyAlignment="1">
      <alignment horizontal="center" vertical="center" wrapText="1"/>
    </xf>
    <xf numFmtId="44" fontId="2" fillId="0" borderId="0" xfId="2" applyFont="1" applyFill="1" applyBorder="1" applyAlignment="1">
      <alignment vertical="center" wrapText="1"/>
    </xf>
    <xf numFmtId="0" fontId="52" fillId="0" borderId="0" xfId="0" applyFont="1"/>
    <xf numFmtId="167" fontId="52" fillId="0" borderId="0" xfId="0" applyNumberFormat="1" applyFont="1"/>
    <xf numFmtId="0" fontId="52" fillId="0" borderId="0" xfId="0" applyFont="1" applyAlignment="1">
      <alignment horizontal="left" indent="1"/>
    </xf>
    <xf numFmtId="0" fontId="0" fillId="0" borderId="4" xfId="0" applyBorder="1"/>
    <xf numFmtId="0" fontId="28" fillId="0" borderId="3" xfId="0" applyFont="1" applyBorder="1"/>
    <xf numFmtId="0" fontId="0" fillId="0" borderId="1" xfId="0" quotePrefix="1" applyBorder="1"/>
    <xf numFmtId="167" fontId="28" fillId="3" borderId="11" xfId="0" applyNumberFormat="1" applyFont="1" applyFill="1" applyBorder="1"/>
    <xf numFmtId="0" fontId="7" fillId="0" borderId="3" xfId="0" applyFont="1" applyBorder="1"/>
    <xf numFmtId="167" fontId="9" fillId="0" borderId="11" xfId="0" applyNumberFormat="1" applyFont="1" applyBorder="1"/>
    <xf numFmtId="167" fontId="9" fillId="0" borderId="56" xfId="0" applyNumberFormat="1" applyFont="1" applyBorder="1"/>
    <xf numFmtId="167" fontId="9" fillId="0" borderId="48" xfId="0" applyNumberFormat="1" applyFont="1" applyBorder="1"/>
    <xf numFmtId="167" fontId="9" fillId="0" borderId="57" xfId="0" applyNumberFormat="1" applyFont="1" applyBorder="1"/>
    <xf numFmtId="167" fontId="9" fillId="0" borderId="49" xfId="0" applyNumberFormat="1" applyFont="1" applyBorder="1"/>
    <xf numFmtId="0" fontId="28" fillId="4" borderId="9" xfId="0" applyFont="1" applyFill="1" applyBorder="1"/>
    <xf numFmtId="4" fontId="0" fillId="4" borderId="6" xfId="0" applyNumberFormat="1" applyFill="1" applyBorder="1"/>
    <xf numFmtId="9" fontId="28" fillId="4" borderId="5" xfId="0" applyNumberFormat="1" applyFont="1" applyFill="1" applyBorder="1"/>
    <xf numFmtId="4" fontId="28" fillId="4" borderId="5" xfId="0" applyNumberFormat="1" applyFont="1" applyFill="1" applyBorder="1"/>
    <xf numFmtId="9" fontId="28" fillId="4" borderId="6" xfId="0" applyNumberFormat="1" applyFont="1" applyFill="1" applyBorder="1"/>
    <xf numFmtId="0" fontId="28" fillId="4" borderId="12" xfId="0" applyFont="1" applyFill="1" applyBorder="1"/>
    <xf numFmtId="4" fontId="0" fillId="4" borderId="8" xfId="0" applyNumberFormat="1" applyFill="1" applyBorder="1"/>
    <xf numFmtId="9" fontId="28" fillId="4" borderId="7" xfId="0" applyNumberFormat="1" applyFont="1" applyFill="1" applyBorder="1"/>
    <xf numFmtId="4" fontId="28" fillId="4" borderId="7" xfId="0" applyNumberFormat="1" applyFont="1" applyFill="1" applyBorder="1"/>
    <xf numFmtId="9" fontId="28" fillId="4" borderId="8" xfId="0" applyNumberFormat="1" applyFont="1" applyFill="1" applyBorder="1"/>
    <xf numFmtId="0" fontId="7" fillId="0" borderId="0" xfId="0" applyFont="1" applyAlignment="1">
      <alignment horizontal="left" indent="1"/>
    </xf>
    <xf numFmtId="0" fontId="5" fillId="8" borderId="13" xfId="0" applyFont="1" applyFill="1" applyBorder="1" applyAlignment="1">
      <alignment horizontal="center"/>
    </xf>
    <xf numFmtId="0" fontId="37" fillId="0" borderId="0" xfId="0" applyFont="1" applyAlignment="1">
      <alignment horizontal="left" indent="2"/>
    </xf>
    <xf numFmtId="0" fontId="35" fillId="0" borderId="1" xfId="0" applyFont="1" applyBorder="1" applyAlignment="1">
      <alignment horizontal="center"/>
    </xf>
    <xf numFmtId="9" fontId="0" fillId="0" borderId="1" xfId="0" applyNumberFormat="1" applyBorder="1"/>
    <xf numFmtId="167" fontId="5" fillId="0" borderId="1" xfId="0" applyNumberFormat="1" applyFont="1" applyBorder="1"/>
    <xf numFmtId="9" fontId="5" fillId="0" borderId="1" xfId="3" applyFont="1" applyFill="1" applyBorder="1" applyAlignment="1">
      <alignment horizontal="center"/>
    </xf>
    <xf numFmtId="9" fontId="0" fillId="0" borderId="0" xfId="3" applyFont="1" applyFill="1" applyBorder="1" applyAlignment="1">
      <alignment horizontal="center"/>
    </xf>
    <xf numFmtId="167" fontId="5" fillId="0" borderId="0" xfId="0" applyNumberFormat="1" applyFont="1"/>
    <xf numFmtId="9" fontId="5" fillId="0" borderId="0" xfId="3" applyFont="1" applyFill="1" applyBorder="1" applyAlignment="1">
      <alignment horizontal="center"/>
    </xf>
    <xf numFmtId="9" fontId="11" fillId="0" borderId="0" xfId="3" applyFont="1" applyFill="1" applyBorder="1" applyAlignment="1">
      <alignment horizontal="center"/>
    </xf>
    <xf numFmtId="167" fontId="25" fillId="0" borderId="0" xfId="0" applyNumberFormat="1" applyFont="1"/>
    <xf numFmtId="8" fontId="0" fillId="3" borderId="13" xfId="0" applyNumberFormat="1" applyFill="1" applyBorder="1" applyAlignment="1">
      <alignment horizontal="center"/>
    </xf>
    <xf numFmtId="0" fontId="25" fillId="0" borderId="0" xfId="0" quotePrefix="1" applyFont="1"/>
    <xf numFmtId="1" fontId="0" fillId="0" borderId="0" xfId="0" applyNumberFormat="1"/>
    <xf numFmtId="0" fontId="5" fillId="0" borderId="0" xfId="0" applyFont="1" applyAlignment="1">
      <alignment horizontal="left" indent="5"/>
    </xf>
    <xf numFmtId="8" fontId="5" fillId="0" borderId="0" xfId="0" applyNumberFormat="1" applyFont="1" applyAlignment="1">
      <alignment horizontal="left"/>
    </xf>
    <xf numFmtId="0" fontId="5" fillId="4" borderId="1" xfId="0" applyFont="1" applyFill="1" applyBorder="1" applyAlignment="1">
      <alignment horizontal="center"/>
    </xf>
    <xf numFmtId="0" fontId="28" fillId="4" borderId="31" xfId="0" applyFont="1" applyFill="1" applyBorder="1" applyAlignment="1">
      <alignment horizontal="center" wrapText="1"/>
    </xf>
    <xf numFmtId="0" fontId="28" fillId="4" borderId="32" xfId="0" applyFont="1" applyFill="1" applyBorder="1" applyAlignment="1">
      <alignment horizont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wrapText="1"/>
    </xf>
    <xf numFmtId="0" fontId="28" fillId="4" borderId="34" xfId="0" applyFont="1" applyFill="1" applyBorder="1" applyAlignment="1">
      <alignment horizontal="center" wrapText="1"/>
    </xf>
    <xf numFmtId="0" fontId="28" fillId="4" borderId="13" xfId="0" applyFont="1" applyFill="1" applyBorder="1" applyAlignment="1">
      <alignment horizontal="center"/>
    </xf>
    <xf numFmtId="0" fontId="3" fillId="0" borderId="44" xfId="0" applyFont="1" applyBorder="1" applyAlignment="1">
      <alignment horizontal="center"/>
    </xf>
    <xf numFmtId="0" fontId="3" fillId="0" borderId="47" xfId="0" applyFont="1" applyBorder="1" applyAlignment="1">
      <alignment horizontal="center"/>
    </xf>
    <xf numFmtId="1" fontId="3" fillId="0" borderId="18" xfId="3" applyNumberFormat="1" applyFont="1" applyFill="1" applyBorder="1" applyAlignment="1">
      <alignment horizontal="center"/>
    </xf>
    <xf numFmtId="1" fontId="9" fillId="9" borderId="35" xfId="0" applyNumberFormat="1" applyFont="1" applyFill="1" applyBorder="1" applyAlignment="1">
      <alignment horizontal="center"/>
    </xf>
    <xf numFmtId="167" fontId="9" fillId="9" borderId="35" xfId="2" applyNumberFormat="1" applyFont="1" applyFill="1" applyBorder="1" applyAlignment="1">
      <alignment horizontal="center"/>
    </xf>
    <xf numFmtId="167" fontId="9" fillId="9" borderId="42" xfId="0" applyNumberFormat="1" applyFont="1" applyFill="1" applyBorder="1" applyAlignment="1">
      <alignment horizontal="center"/>
    </xf>
    <xf numFmtId="1" fontId="9" fillId="9" borderId="1" xfId="0" applyNumberFormat="1" applyFont="1" applyFill="1" applyBorder="1" applyAlignment="1">
      <alignment horizontal="center"/>
    </xf>
    <xf numFmtId="167" fontId="9" fillId="9" borderId="1" xfId="2" applyNumberFormat="1" applyFont="1" applyFill="1" applyBorder="1" applyAlignment="1">
      <alignment horizontal="center"/>
    </xf>
    <xf numFmtId="167" fontId="9" fillId="9" borderId="36" xfId="0" applyNumberFormat="1" applyFont="1" applyFill="1" applyBorder="1" applyAlignment="1">
      <alignment horizontal="center"/>
    </xf>
    <xf numFmtId="167" fontId="9" fillId="9" borderId="5" xfId="2" applyNumberFormat="1" applyFont="1" applyFill="1" applyBorder="1" applyAlignment="1">
      <alignment horizontal="center"/>
    </xf>
    <xf numFmtId="167" fontId="9" fillId="9" borderId="37" xfId="0" applyNumberFormat="1" applyFont="1" applyFill="1" applyBorder="1" applyAlignment="1">
      <alignment horizontal="center"/>
    </xf>
    <xf numFmtId="1" fontId="9" fillId="9" borderId="39" xfId="0" applyNumberFormat="1" applyFont="1" applyFill="1" applyBorder="1" applyAlignment="1">
      <alignment horizontal="center"/>
    </xf>
    <xf numFmtId="167" fontId="9" fillId="9" borderId="39" xfId="2" applyNumberFormat="1" applyFont="1" applyFill="1" applyBorder="1" applyAlignment="1">
      <alignment horizontal="center"/>
    </xf>
    <xf numFmtId="167" fontId="9" fillId="9" borderId="40" xfId="0" applyNumberFormat="1" applyFont="1" applyFill="1" applyBorder="1" applyAlignment="1">
      <alignment horizontal="center"/>
    </xf>
    <xf numFmtId="14" fontId="25" fillId="0" borderId="0" xfId="0" applyNumberFormat="1" applyFont="1"/>
    <xf numFmtId="2" fontId="28" fillId="3" borderId="1" xfId="0" applyNumberFormat="1" applyFont="1" applyFill="1" applyBorder="1" applyAlignment="1">
      <alignment horizontal="center" vertical="center" wrapText="1"/>
    </xf>
    <xf numFmtId="1" fontId="34" fillId="0" borderId="1" xfId="0" applyNumberFormat="1" applyFont="1" applyBorder="1" applyAlignment="1">
      <alignment horizontal="center"/>
    </xf>
    <xf numFmtId="172" fontId="34" fillId="0" borderId="1" xfId="3" applyNumberFormat="1" applyFont="1" applyFill="1" applyBorder="1" applyAlignment="1">
      <alignment horizontal="center"/>
    </xf>
    <xf numFmtId="169" fontId="34" fillId="0" borderId="1" xfId="0" applyNumberFormat="1" applyFont="1" applyBorder="1" applyAlignment="1">
      <alignment horizontal="center"/>
    </xf>
    <xf numFmtId="0" fontId="5" fillId="0" borderId="0" xfId="0" applyFont="1" applyAlignment="1">
      <alignment horizontal="left" indent="2"/>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0" fillId="10" borderId="1" xfId="0" applyFill="1" applyBorder="1"/>
    <xf numFmtId="0" fontId="53" fillId="0" borderId="0" xfId="0" applyFont="1"/>
    <xf numFmtId="0" fontId="0" fillId="0" borderId="3" xfId="0" applyBorder="1" applyAlignment="1">
      <alignment horizontal="center"/>
    </xf>
    <xf numFmtId="167" fontId="0" fillId="0" borderId="0" xfId="0" applyNumberFormat="1" applyAlignment="1">
      <alignment horizontal="left"/>
    </xf>
    <xf numFmtId="167" fontId="0" fillId="0" borderId="0" xfId="0" applyNumberFormat="1" applyAlignment="1">
      <alignment horizontal="right"/>
    </xf>
    <xf numFmtId="0" fontId="0" fillId="11" borderId="0" xfId="0" applyFill="1" applyAlignment="1">
      <alignment horizontal="left"/>
    </xf>
    <xf numFmtId="0" fontId="0" fillId="11" borderId="0" xfId="0" applyFill="1"/>
    <xf numFmtId="167" fontId="0" fillId="3" borderId="13" xfId="0" applyNumberFormat="1" applyFill="1" applyBorder="1" applyAlignment="1">
      <alignment horizontal="left"/>
    </xf>
    <xf numFmtId="9" fontId="0" fillId="3" borderId="13" xfId="0" applyNumberFormat="1" applyFill="1" applyBorder="1" applyAlignment="1">
      <alignment horizontal="center"/>
    </xf>
    <xf numFmtId="0" fontId="0" fillId="3" borderId="13" xfId="0" applyFill="1" applyBorder="1"/>
    <xf numFmtId="167" fontId="0" fillId="3" borderId="13" xfId="0" applyNumberFormat="1" applyFill="1" applyBorder="1" applyAlignment="1">
      <alignment horizontal="center"/>
    </xf>
    <xf numFmtId="0" fontId="0" fillId="0" borderId="0" xfId="0" applyAlignment="1">
      <alignment horizontal="left" wrapText="1"/>
    </xf>
    <xf numFmtId="0" fontId="0" fillId="8" borderId="13" xfId="0" applyFill="1" applyBorder="1" applyAlignment="1">
      <alignment horizontal="center"/>
    </xf>
    <xf numFmtId="167" fontId="0" fillId="8" borderId="13" xfId="0" applyNumberFormat="1" applyFill="1" applyBorder="1" applyAlignment="1">
      <alignment horizontal="center"/>
    </xf>
    <xf numFmtId="0" fontId="7" fillId="0" borderId="41" xfId="0" applyFont="1" applyBorder="1" applyAlignment="1">
      <alignment horizontal="center"/>
    </xf>
    <xf numFmtId="0" fontId="7" fillId="0" borderId="35" xfId="0" applyFont="1" applyBorder="1" applyAlignment="1">
      <alignment horizontal="center"/>
    </xf>
    <xf numFmtId="0" fontId="7" fillId="0" borderId="42" xfId="0" applyFont="1" applyBorder="1" applyAlignment="1">
      <alignment horizontal="center"/>
    </xf>
    <xf numFmtId="0" fontId="0" fillId="0" borderId="0" xfId="0" applyAlignment="1">
      <alignment horizontal="left" vertical="center" indent="1"/>
    </xf>
    <xf numFmtId="0" fontId="53" fillId="0" borderId="0" xfId="0" quotePrefix="1" applyFont="1" applyAlignment="1">
      <alignment horizontal="left" vertical="center" indent="1"/>
    </xf>
    <xf numFmtId="0" fontId="0" fillId="0" borderId="0" xfId="0" applyAlignment="1">
      <alignment horizontal="left" vertical="center"/>
    </xf>
    <xf numFmtId="167" fontId="0" fillId="0" borderId="1" xfId="0" applyNumberFormat="1" applyBorder="1" applyAlignment="1">
      <alignment horizontal="center" vertical="center"/>
    </xf>
    <xf numFmtId="167" fontId="0" fillId="0" borderId="3" xfId="0" applyNumberFormat="1" applyBorder="1" applyAlignment="1">
      <alignment horizontal="center" vertical="center"/>
    </xf>
    <xf numFmtId="9" fontId="0" fillId="12" borderId="13" xfId="0" applyNumberFormat="1" applyFill="1" applyBorder="1" applyAlignment="1">
      <alignment horizontal="center"/>
    </xf>
    <xf numFmtId="0" fontId="5" fillId="0" borderId="1"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indent="9"/>
    </xf>
    <xf numFmtId="0" fontId="0" fillId="0" borderId="0" xfId="0" applyAlignment="1">
      <alignment horizontal="left" indent="5"/>
    </xf>
    <xf numFmtId="10" fontId="0" fillId="13" borderId="1" xfId="3" applyNumberFormat="1" applyFont="1" applyFill="1" applyBorder="1" applyAlignment="1">
      <alignment horizontal="center"/>
    </xf>
    <xf numFmtId="3" fontId="0" fillId="13" borderId="1" xfId="0" applyNumberFormat="1" applyFill="1" applyBorder="1" applyAlignment="1">
      <alignment horizontal="center"/>
    </xf>
    <xf numFmtId="167" fontId="0" fillId="0" borderId="3" xfId="0" applyNumberFormat="1" applyBorder="1" applyAlignment="1">
      <alignment horizontal="center"/>
    </xf>
    <xf numFmtId="0" fontId="0" fillId="14" borderId="1" xfId="0" applyFill="1" applyBorder="1"/>
    <xf numFmtId="44" fontId="0" fillId="14" borderId="1" xfId="2" applyFont="1" applyFill="1" applyBorder="1"/>
    <xf numFmtId="0" fontId="0" fillId="14" borderId="1" xfId="0" applyFill="1" applyBorder="1" applyAlignment="1">
      <alignment horizontal="center"/>
    </xf>
    <xf numFmtId="167" fontId="0" fillId="14" borderId="1" xfId="2" applyNumberFormat="1" applyFont="1" applyFill="1" applyBorder="1" applyAlignment="1">
      <alignment horizontal="center"/>
    </xf>
    <xf numFmtId="0" fontId="0" fillId="4" borderId="13" xfId="0" applyFill="1" applyBorder="1"/>
    <xf numFmtId="0" fontId="0" fillId="14" borderId="0" xfId="0" quotePrefix="1" applyFill="1"/>
    <xf numFmtId="167" fontId="2" fillId="0" borderId="36" xfId="0" applyNumberFormat="1" applyFont="1" applyBorder="1" applyAlignment="1">
      <alignment horizontal="center"/>
    </xf>
    <xf numFmtId="167" fontId="2" fillId="0" borderId="40" xfId="0" applyNumberFormat="1" applyFont="1" applyBorder="1" applyAlignment="1">
      <alignment horizontal="center"/>
    </xf>
    <xf numFmtId="0" fontId="17" fillId="10" borderId="1" xfId="0" applyFont="1" applyFill="1" applyBorder="1" applyAlignment="1">
      <alignment horizontal="center" vertical="center"/>
    </xf>
    <xf numFmtId="1" fontId="0" fillId="4" borderId="13" xfId="0" applyNumberFormat="1" applyFill="1" applyBorder="1" applyAlignment="1">
      <alignment horizontal="center"/>
    </xf>
    <xf numFmtId="0" fontId="17" fillId="10" borderId="1" xfId="0" applyFont="1" applyFill="1" applyBorder="1" applyAlignment="1">
      <alignment horizontal="center" vertical="center" wrapText="1"/>
    </xf>
    <xf numFmtId="0" fontId="5" fillId="9" borderId="1" xfId="0" applyFont="1" applyFill="1" applyBorder="1" applyAlignment="1">
      <alignment horizontal="center" vertical="center"/>
    </xf>
    <xf numFmtId="0" fontId="53" fillId="10" borderId="3" xfId="0" applyFont="1" applyFill="1" applyBorder="1" applyAlignment="1">
      <alignment vertical="center"/>
    </xf>
    <xf numFmtId="0" fontId="53" fillId="10" borderId="65" xfId="0" applyFont="1" applyFill="1" applyBorder="1" applyAlignment="1">
      <alignment vertical="center"/>
    </xf>
    <xf numFmtId="0" fontId="53" fillId="10" borderId="4" xfId="0" applyFont="1" applyFill="1" applyBorder="1" applyAlignment="1">
      <alignment vertical="center"/>
    </xf>
    <xf numFmtId="9" fontId="0" fillId="14" borderId="1" xfId="3" applyFont="1" applyFill="1" applyBorder="1" applyAlignment="1">
      <alignment horizontal="center"/>
    </xf>
    <xf numFmtId="0" fontId="0" fillId="0" borderId="1" xfId="0" applyBorder="1" applyAlignment="1">
      <alignment horizontal="right"/>
    </xf>
    <xf numFmtId="1" fontId="0" fillId="4" borderId="66" xfId="0" applyNumberFormat="1" applyFill="1" applyBorder="1" applyAlignment="1">
      <alignment horizontal="center"/>
    </xf>
    <xf numFmtId="0" fontId="0" fillId="6" borderId="41" xfId="0" applyFill="1" applyBorder="1" applyAlignment="1">
      <alignment horizontal="center"/>
    </xf>
    <xf numFmtId="167" fontId="0" fillId="6" borderId="42" xfId="0" applyNumberFormat="1" applyFill="1" applyBorder="1" applyAlignment="1">
      <alignment horizontal="center"/>
    </xf>
    <xf numFmtId="0" fontId="0" fillId="6" borderId="26" xfId="0" applyFill="1" applyBorder="1" applyAlignment="1">
      <alignment horizontal="center"/>
    </xf>
    <xf numFmtId="167" fontId="0" fillId="6" borderId="36" xfId="0" applyNumberFormat="1" applyFill="1" applyBorder="1" applyAlignment="1">
      <alignment horizontal="center"/>
    </xf>
    <xf numFmtId="0" fontId="0" fillId="6" borderId="38" xfId="0" applyFill="1" applyBorder="1" applyAlignment="1">
      <alignment horizontal="center"/>
    </xf>
    <xf numFmtId="167" fontId="0" fillId="6" borderId="40" xfId="0" applyNumberFormat="1" applyFill="1" applyBorder="1" applyAlignment="1">
      <alignment horizontal="center"/>
    </xf>
    <xf numFmtId="44" fontId="0" fillId="6" borderId="4" xfId="0" applyNumberFormat="1" applyFill="1" applyBorder="1"/>
    <xf numFmtId="0" fontId="5" fillId="9" borderId="5" xfId="0" applyFont="1" applyFill="1" applyBorder="1" applyAlignment="1">
      <alignment horizontal="center" vertical="center"/>
    </xf>
    <xf numFmtId="0" fontId="0" fillId="4" borderId="1" xfId="0" applyFill="1" applyBorder="1" applyAlignment="1">
      <alignment horizontal="center"/>
    </xf>
    <xf numFmtId="0" fontId="0" fillId="6" borderId="1" xfId="0" applyFill="1" applyBorder="1" applyAlignment="1">
      <alignment horizontal="center"/>
    </xf>
    <xf numFmtId="44" fontId="0" fillId="6" borderId="1" xfId="2" applyFont="1" applyFill="1" applyBorder="1" applyAlignment="1">
      <alignment horizontal="center"/>
    </xf>
    <xf numFmtId="44" fontId="0" fillId="6" borderId="1" xfId="0" applyNumberFormat="1" applyFill="1" applyBorder="1" applyAlignment="1">
      <alignment horizontal="center"/>
    </xf>
    <xf numFmtId="167" fontId="0" fillId="6" borderId="1" xfId="0" applyNumberFormat="1" applyFill="1" applyBorder="1" applyAlignment="1">
      <alignment horizontal="center"/>
    </xf>
    <xf numFmtId="0" fontId="17" fillId="14" borderId="1" xfId="0" applyFont="1" applyFill="1" applyBorder="1" applyAlignment="1">
      <alignment horizontal="center"/>
    </xf>
    <xf numFmtId="44" fontId="17" fillId="6" borderId="1" xfId="0" applyNumberFormat="1" applyFont="1" applyFill="1" applyBorder="1" applyAlignment="1">
      <alignment horizontal="center"/>
    </xf>
    <xf numFmtId="167" fontId="17" fillId="6" borderId="1" xfId="0" applyNumberFormat="1" applyFont="1" applyFill="1" applyBorder="1" applyAlignment="1">
      <alignment horizontal="center"/>
    </xf>
    <xf numFmtId="9" fontId="0" fillId="6" borderId="4" xfId="3" applyFont="1" applyFill="1" applyBorder="1" applyAlignment="1">
      <alignment horizontal="center"/>
    </xf>
    <xf numFmtId="167" fontId="0" fillId="6" borderId="4" xfId="3" applyNumberFormat="1" applyFont="1" applyFill="1" applyBorder="1" applyAlignment="1">
      <alignment horizontal="center"/>
    </xf>
    <xf numFmtId="0" fontId="0" fillId="6" borderId="4" xfId="0" applyFill="1" applyBorder="1" applyAlignment="1">
      <alignment horizontal="center"/>
    </xf>
    <xf numFmtId="6" fontId="0" fillId="14" borderId="1" xfId="0" applyNumberFormat="1" applyFill="1" applyBorder="1" applyAlignment="1">
      <alignment horizontal="center"/>
    </xf>
    <xf numFmtId="167" fontId="5" fillId="0" borderId="1" xfId="0" applyNumberFormat="1" applyFont="1" applyBorder="1" applyAlignment="1">
      <alignment horizontal="center"/>
    </xf>
    <xf numFmtId="167" fontId="0" fillId="0" borderId="1" xfId="0" applyNumberFormat="1" applyBorder="1" applyAlignment="1">
      <alignment horizontal="left" indent="1"/>
    </xf>
    <xf numFmtId="0" fontId="0" fillId="0" borderId="0" xfId="0" quotePrefix="1" applyAlignment="1">
      <alignment horizontal="left"/>
    </xf>
    <xf numFmtId="167" fontId="0" fillId="0" borderId="0" xfId="0" applyNumberFormat="1" applyAlignment="1">
      <alignment horizontal="left" indent="1"/>
    </xf>
    <xf numFmtId="167" fontId="5" fillId="0" borderId="0" xfId="0" applyNumberFormat="1" applyFont="1" applyAlignment="1">
      <alignment horizontal="left" indent="1"/>
    </xf>
    <xf numFmtId="0" fontId="0" fillId="0" borderId="0" xfId="0" applyAlignment="1">
      <alignment horizontal="left" indent="10"/>
    </xf>
    <xf numFmtId="0" fontId="2" fillId="3" borderId="0" xfId="1" applyNumberFormat="1" applyFont="1" applyFill="1" applyAlignment="1">
      <alignment horizontal="center"/>
    </xf>
    <xf numFmtId="0" fontId="2" fillId="3" borderId="0" xfId="0" applyFont="1" applyFill="1" applyAlignment="1">
      <alignment horizontal="center"/>
    </xf>
    <xf numFmtId="0" fontId="55" fillId="0" borderId="0" xfId="6" applyFont="1"/>
    <xf numFmtId="0" fontId="0" fillId="8" borderId="4" xfId="0" applyFill="1" applyBorder="1" applyAlignment="1">
      <alignment horizontal="center"/>
    </xf>
    <xf numFmtId="167" fontId="0" fillId="8" borderId="1" xfId="0" applyNumberFormat="1" applyFill="1" applyBorder="1" applyAlignment="1">
      <alignment horizontal="center"/>
    </xf>
    <xf numFmtId="1" fontId="0" fillId="6" borderId="13" xfId="0" applyNumberFormat="1" applyFill="1" applyBorder="1" applyAlignment="1">
      <alignment horizontal="center"/>
    </xf>
    <xf numFmtId="0" fontId="0" fillId="0" borderId="0" xfId="0" applyAlignment="1">
      <alignment horizontal="right" vertical="top"/>
    </xf>
    <xf numFmtId="0" fontId="54" fillId="0" borderId="0" xfId="6"/>
    <xf numFmtId="0" fontId="53" fillId="11" borderId="0" xfId="0" applyFont="1" applyFill="1"/>
    <xf numFmtId="0" fontId="0" fillId="11" borderId="0" xfId="0" applyFill="1" applyAlignment="1">
      <alignment horizontal="left" indent="1"/>
    </xf>
    <xf numFmtId="0" fontId="0" fillId="11" borderId="0" xfId="0" quotePrefix="1" applyFill="1" applyAlignment="1">
      <alignment horizontal="left" indent="1"/>
    </xf>
    <xf numFmtId="0" fontId="0" fillId="12" borderId="1" xfId="0" applyFill="1" applyBorder="1" applyAlignment="1">
      <alignment horizontal="center"/>
    </xf>
    <xf numFmtId="8" fontId="0" fillId="15" borderId="13" xfId="0" applyNumberFormat="1" applyFill="1" applyBorder="1" applyAlignment="1">
      <alignment horizontal="center"/>
    </xf>
    <xf numFmtId="0" fontId="56" fillId="0" borderId="0" xfId="6" applyFont="1" applyAlignment="1">
      <alignment vertical="top"/>
    </xf>
    <xf numFmtId="10" fontId="0" fillId="6" borderId="1" xfId="3" applyNumberFormat="1" applyFont="1" applyFill="1" applyBorder="1" applyAlignment="1">
      <alignment horizontal="center"/>
    </xf>
    <xf numFmtId="0" fontId="5" fillId="12" borderId="1" xfId="0" applyFont="1" applyFill="1" applyBorder="1" applyAlignment="1">
      <alignment horizontal="center"/>
    </xf>
    <xf numFmtId="0" fontId="0" fillId="12" borderId="1" xfId="0" applyFill="1" applyBorder="1"/>
    <xf numFmtId="1" fontId="0" fillId="6" borderId="1" xfId="0" applyNumberFormat="1" applyFill="1" applyBorder="1" applyAlignment="1">
      <alignment horizontal="center"/>
    </xf>
    <xf numFmtId="1" fontId="0" fillId="8" borderId="1" xfId="0" applyNumberFormat="1" applyFill="1" applyBorder="1" applyAlignment="1">
      <alignment horizontal="center"/>
    </xf>
    <xf numFmtId="0" fontId="25" fillId="16" borderId="0" xfId="0" applyFont="1" applyFill="1"/>
    <xf numFmtId="0" fontId="45" fillId="16" borderId="0" xfId="0" applyFont="1" applyFill="1"/>
    <xf numFmtId="0" fontId="57" fillId="16" borderId="0" xfId="0" applyFont="1" applyFill="1"/>
    <xf numFmtId="0" fontId="45" fillId="16" borderId="0" xfId="0" applyFont="1" applyFill="1" applyAlignment="1">
      <alignment horizontal="right"/>
    </xf>
    <xf numFmtId="0" fontId="59" fillId="16" borderId="0" xfId="0" applyFont="1" applyFill="1"/>
    <xf numFmtId="0" fontId="61" fillId="16" borderId="0" xfId="0" applyFont="1" applyFill="1"/>
    <xf numFmtId="0" fontId="46" fillId="16" borderId="0" xfId="0" applyFont="1" applyFill="1"/>
    <xf numFmtId="9" fontId="45" fillId="16" borderId="0" xfId="3" applyFont="1" applyFill="1"/>
    <xf numFmtId="0" fontId="59" fillId="16" borderId="0" xfId="0" applyFont="1" applyFill="1" applyAlignment="1">
      <alignment horizontal="right"/>
    </xf>
    <xf numFmtId="8" fontId="0" fillId="0" borderId="1" xfId="0" applyNumberFormat="1" applyBorder="1" applyAlignment="1">
      <alignment horizontal="center"/>
    </xf>
    <xf numFmtId="0" fontId="59" fillId="16" borderId="0" xfId="0" applyFont="1" applyFill="1" applyAlignment="1">
      <alignment horizontal="right" indent="1"/>
    </xf>
    <xf numFmtId="0" fontId="46" fillId="16" borderId="0" xfId="0" applyFont="1" applyFill="1" applyAlignment="1">
      <alignment horizontal="right" indent="1"/>
    </xf>
    <xf numFmtId="0" fontId="64" fillId="16" borderId="0" xfId="0" applyFont="1" applyFill="1"/>
    <xf numFmtId="0" fontId="64" fillId="16" borderId="0" xfId="0" applyFont="1" applyFill="1" applyAlignment="1">
      <alignment horizontal="right" indent="1"/>
    </xf>
    <xf numFmtId="0" fontId="46" fillId="16" borderId="0" xfId="0" applyFont="1" applyFill="1" applyAlignment="1">
      <alignment horizontal="right"/>
    </xf>
    <xf numFmtId="0" fontId="45" fillId="17" borderId="0" xfId="0" applyFont="1" applyFill="1" applyAlignment="1">
      <alignment horizontal="left" indent="1"/>
    </xf>
    <xf numFmtId="0" fontId="66" fillId="17" borderId="0" xfId="0" applyFont="1" applyFill="1" applyAlignment="1">
      <alignment horizontal="left" indent="1"/>
    </xf>
    <xf numFmtId="0" fontId="66" fillId="18" borderId="0" xfId="0" applyFont="1" applyFill="1" applyAlignment="1">
      <alignment horizontal="left" indent="1"/>
    </xf>
    <xf numFmtId="0" fontId="5" fillId="0" borderId="0" xfId="0" applyFont="1" applyProtection="1">
      <protection locked="0" hidden="1"/>
    </xf>
    <xf numFmtId="0" fontId="0" fillId="0" borderId="0" xfId="0" applyProtection="1">
      <protection locked="0" hidden="1"/>
    </xf>
    <xf numFmtId="0" fontId="45" fillId="16" borderId="0" xfId="0" applyFont="1" applyFill="1" applyProtection="1">
      <protection locked="0" hidden="1"/>
    </xf>
    <xf numFmtId="0" fontId="17" fillId="0" borderId="0" xfId="0" applyFont="1" applyProtection="1">
      <protection locked="0" hidden="1"/>
    </xf>
    <xf numFmtId="0" fontId="54" fillId="0" borderId="0" xfId="6" applyProtection="1">
      <protection locked="0" hidden="1"/>
    </xf>
    <xf numFmtId="0" fontId="67" fillId="18" borderId="0" xfId="6" applyFont="1" applyFill="1" applyAlignment="1">
      <alignment horizontal="left" indent="1"/>
    </xf>
    <xf numFmtId="0" fontId="0" fillId="0" borderId="3" xfId="0" applyBorder="1" applyAlignment="1">
      <alignment horizontal="center"/>
    </xf>
    <xf numFmtId="0" fontId="0" fillId="0" borderId="65" xfId="0" applyBorder="1" applyAlignment="1">
      <alignment horizontal="center"/>
    </xf>
    <xf numFmtId="0" fontId="0" fillId="0" borderId="4" xfId="0" applyBorder="1" applyAlignment="1">
      <alignment horizontal="center"/>
    </xf>
    <xf numFmtId="0" fontId="5" fillId="0" borderId="1" xfId="0" applyFont="1" applyBorder="1" applyAlignment="1">
      <alignment horizontal="center"/>
    </xf>
    <xf numFmtId="0" fontId="0" fillId="0" borderId="0" xfId="0" applyAlignment="1">
      <alignment horizontal="left" wrapText="1"/>
    </xf>
    <xf numFmtId="0" fontId="5" fillId="9" borderId="1" xfId="0" applyFont="1" applyFill="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indent="2"/>
    </xf>
    <xf numFmtId="0" fontId="0" fillId="0" borderId="0" xfId="0" applyAlignment="1">
      <alignment horizontal="left" wrapText="1" indent="1"/>
    </xf>
    <xf numFmtId="0" fontId="38" fillId="0" borderId="0" xfId="0" applyFont="1" applyAlignment="1">
      <alignment horizontal="center"/>
    </xf>
    <xf numFmtId="0" fontId="46" fillId="5" borderId="3" xfId="0" applyFont="1" applyFill="1" applyBorder="1" applyAlignment="1">
      <alignment horizontal="center"/>
    </xf>
    <xf numFmtId="0" fontId="46" fillId="5" borderId="4" xfId="0" applyFont="1" applyFill="1" applyBorder="1" applyAlignment="1">
      <alignment horizontal="center"/>
    </xf>
    <xf numFmtId="0" fontId="3" fillId="0" borderId="0" xfId="0" applyFont="1" applyAlignment="1">
      <alignment horizontal="left" wrapText="1" indent="1"/>
    </xf>
    <xf numFmtId="0" fontId="46" fillId="5" borderId="1" xfId="0" applyFont="1" applyFill="1" applyBorder="1" applyAlignment="1">
      <alignment horizontal="center"/>
    </xf>
    <xf numFmtId="0" fontId="45" fillId="5" borderId="1" xfId="0" applyFont="1" applyFill="1" applyBorder="1" applyAlignment="1">
      <alignment horizontal="center"/>
    </xf>
    <xf numFmtId="0" fontId="28" fillId="2" borderId="0" xfId="0" quotePrefix="1" applyFont="1" applyFill="1" applyAlignment="1">
      <alignment horizontal="left"/>
    </xf>
    <xf numFmtId="0" fontId="28" fillId="2" borderId="0" xfId="0" applyFont="1" applyFill="1" applyAlignment="1">
      <alignment horizontal="center"/>
    </xf>
    <xf numFmtId="0" fontId="28" fillId="2" borderId="0" xfId="0" applyFont="1" applyFill="1" applyAlignment="1">
      <alignment horizontal="left"/>
    </xf>
    <xf numFmtId="0" fontId="7" fillId="2" borderId="0" xfId="0" quotePrefix="1" applyFont="1" applyFill="1" applyAlignment="1">
      <alignment horizontal="left"/>
    </xf>
    <xf numFmtId="0" fontId="7" fillId="2" borderId="0" xfId="0" applyFont="1" applyFill="1" applyAlignment="1">
      <alignment horizontal="center"/>
    </xf>
    <xf numFmtId="0" fontId="7" fillId="2" borderId="0" xfId="0" applyFont="1" applyFill="1" applyAlignment="1">
      <alignment horizontal="left"/>
    </xf>
    <xf numFmtId="49" fontId="7" fillId="0" borderId="0" xfId="0" applyNumberFormat="1" applyFont="1" applyAlignment="1">
      <alignment horizontal="center" vertical="center" wrapText="1"/>
    </xf>
    <xf numFmtId="0" fontId="5" fillId="0" borderId="0" xfId="0" applyFont="1" applyAlignment="1">
      <alignment horizontal="center" vertical="center" textRotation="90"/>
    </xf>
    <xf numFmtId="0" fontId="0" fillId="0" borderId="0" xfId="0" applyAlignment="1">
      <alignment horizontal="left" vertical="top" wrapText="1"/>
    </xf>
    <xf numFmtId="0" fontId="50" fillId="0" borderId="0" xfId="0" applyFont="1" applyAlignment="1">
      <alignment horizontal="center"/>
    </xf>
    <xf numFmtId="0" fontId="0" fillId="0" borderId="0" xfId="0" applyAlignment="1">
      <alignment horizontal="left"/>
    </xf>
    <xf numFmtId="0" fontId="39" fillId="0" borderId="0" xfId="0" applyFont="1" applyAlignment="1">
      <alignment horizontal="center"/>
    </xf>
    <xf numFmtId="0" fontId="5" fillId="0" borderId="5" xfId="0" applyFont="1" applyBorder="1" applyAlignment="1">
      <alignment horizontal="center" wrapText="1"/>
    </xf>
    <xf numFmtId="0" fontId="5" fillId="0" borderId="7" xfId="0" applyFont="1" applyBorder="1" applyAlignment="1">
      <alignment horizontal="center" wrapText="1"/>
    </xf>
    <xf numFmtId="0" fontId="2" fillId="0" borderId="0" xfId="0" applyFont="1" applyAlignment="1">
      <alignment horizontal="left" vertical="top" wrapText="1"/>
    </xf>
    <xf numFmtId="0" fontId="41" fillId="0" borderId="0" xfId="0" applyFont="1" applyAlignment="1">
      <alignment horizontal="center"/>
    </xf>
    <xf numFmtId="0" fontId="28" fillId="4" borderId="1" xfId="0" applyFont="1" applyFill="1" applyBorder="1" applyAlignment="1">
      <alignment horizontal="center"/>
    </xf>
    <xf numFmtId="7" fontId="28" fillId="4" borderId="1" xfId="1" applyNumberFormat="1" applyFont="1" applyFill="1" applyBorder="1" applyAlignment="1">
      <alignment horizontal="center"/>
    </xf>
    <xf numFmtId="0" fontId="0" fillId="0" borderId="0" xfId="0" applyAlignment="1">
      <alignment horizontal="left" vertical="top" wrapText="1" indent="1"/>
    </xf>
    <xf numFmtId="0" fontId="19" fillId="0" borderId="61" xfId="0" applyFont="1" applyBorder="1" applyAlignment="1">
      <alignment horizontal="center"/>
    </xf>
    <xf numFmtId="0" fontId="19" fillId="0" borderId="62" xfId="0" applyFont="1" applyBorder="1" applyAlignment="1">
      <alignment horizontal="center"/>
    </xf>
    <xf numFmtId="0" fontId="19" fillId="0" borderId="59" xfId="0" applyFont="1" applyBorder="1" applyAlignment="1">
      <alignment horizontal="center"/>
    </xf>
    <xf numFmtId="0" fontId="19" fillId="0" borderId="58" xfId="0" applyFont="1" applyBorder="1" applyAlignment="1">
      <alignment horizontal="center"/>
    </xf>
    <xf numFmtId="0" fontId="28" fillId="4" borderId="1" xfId="0" applyFont="1" applyFill="1" applyBorder="1" applyAlignment="1">
      <alignment horizontal="center" vertical="center" wrapText="1"/>
    </xf>
    <xf numFmtId="0" fontId="28" fillId="4" borderId="5" xfId="0" applyFont="1" applyFill="1" applyBorder="1" applyAlignment="1">
      <alignment horizontal="center" wrapText="1"/>
    </xf>
    <xf numFmtId="0" fontId="28" fillId="4" borderId="7" xfId="0" applyFont="1" applyFill="1" applyBorder="1" applyAlignment="1">
      <alignment horizontal="center"/>
    </xf>
    <xf numFmtId="0" fontId="28" fillId="0" borderId="0" xfId="0" applyFont="1" applyAlignment="1">
      <alignment horizontal="left" vertical="top" wrapText="1"/>
    </xf>
    <xf numFmtId="9" fontId="7" fillId="4" borderId="5" xfId="0" applyNumberFormat="1" applyFont="1" applyFill="1" applyBorder="1" applyAlignment="1">
      <alignment horizontal="center" vertical="center"/>
    </xf>
    <xf numFmtId="9" fontId="7" fillId="4" borderId="11" xfId="0" applyNumberFormat="1"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8" xfId="0" applyFont="1" applyFill="1" applyBorder="1" applyAlignment="1">
      <alignment horizontal="center" vertical="center"/>
    </xf>
    <xf numFmtId="9" fontId="7" fillId="4" borderId="7" xfId="0" applyNumberFormat="1" applyFont="1" applyFill="1" applyBorder="1" applyAlignment="1">
      <alignment horizontal="center" vertical="center"/>
    </xf>
    <xf numFmtId="4" fontId="7" fillId="4" borderId="5" xfId="0" applyNumberFormat="1" applyFont="1" applyFill="1" applyBorder="1" applyAlignment="1">
      <alignment horizontal="center" vertical="center"/>
    </xf>
    <xf numFmtId="4" fontId="7" fillId="4" borderId="7" xfId="0" applyNumberFormat="1" applyFont="1" applyFill="1" applyBorder="1" applyAlignment="1">
      <alignment horizontal="center" vertical="center"/>
    </xf>
    <xf numFmtId="4" fontId="7" fillId="4" borderId="11" xfId="0" applyNumberFormat="1" applyFont="1" applyFill="1" applyBorder="1" applyAlignment="1">
      <alignment horizontal="center" vertical="center"/>
    </xf>
    <xf numFmtId="167" fontId="0" fillId="0" borderId="0" xfId="0" applyNumberFormat="1" applyAlignment="1">
      <alignment horizontal="left" wrapText="1"/>
    </xf>
    <xf numFmtId="0" fontId="35" fillId="0" borderId="3" xfId="0" applyFont="1" applyBorder="1" applyAlignment="1">
      <alignment horizontal="center"/>
    </xf>
    <xf numFmtId="0" fontId="35" fillId="0" borderId="4" xfId="0" applyFont="1" applyBorder="1" applyAlignment="1">
      <alignment horizontal="center"/>
    </xf>
    <xf numFmtId="0" fontId="42" fillId="0" borderId="0" xfId="0" applyFont="1" applyAlignment="1">
      <alignment horizontal="center"/>
    </xf>
    <xf numFmtId="0" fontId="28" fillId="4" borderId="14" xfId="0" applyFont="1" applyFill="1" applyBorder="1" applyAlignment="1">
      <alignment horizontal="center"/>
    </xf>
    <xf numFmtId="0" fontId="28" fillId="4" borderId="15" xfId="0" applyFont="1" applyFill="1" applyBorder="1" applyAlignment="1">
      <alignment horizontal="center"/>
    </xf>
    <xf numFmtId="0" fontId="28" fillId="4" borderId="16" xfId="0" applyFont="1" applyFill="1" applyBorder="1" applyAlignment="1">
      <alignment horizontal="center"/>
    </xf>
    <xf numFmtId="0" fontId="9" fillId="0" borderId="0" xfId="0" applyFont="1"/>
  </cellXfs>
  <cellStyles count="7">
    <cellStyle name="Euro" xfId="1" xr:uid="{00000000-0005-0000-0000-000000000000}"/>
    <cellStyle name="Komma" xfId="5" builtinId="3"/>
    <cellStyle name="Link" xfId="6" builtinId="8"/>
    <cellStyle name="Prozent" xfId="3" builtinId="5"/>
    <cellStyle name="Prozent 2" xfId="4" xr:uid="{00000000-0005-0000-0000-000004000000}"/>
    <cellStyle name="Standard" xfId="0" builtinId="0"/>
    <cellStyle name="Währung" xfId="2" builtinId="4"/>
  </cellStyles>
  <dxfs count="5">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Vergleich Kosten je Azubi mit Branchendurchschnitt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v>eig. Kosten je Azubi</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'Aufgabe 1_Lsg'!$A$6:$A$21</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'Aufgabe 1_Lsg'!$D$6:$D$21</c:f>
              <c:numCache>
                <c:formatCode>#,##0.00\ "€"</c:formatCode>
                <c:ptCount val="16"/>
                <c:pt idx="0">
                  <c:v>5537.916666666667</c:v>
                </c:pt>
                <c:pt idx="1">
                  <c:v>5460.454545454545</c:v>
                </c:pt>
                <c:pt idx="2">
                  <c:v>5665.2</c:v>
                </c:pt>
                <c:pt idx="3">
                  <c:v>5826.6</c:v>
                </c:pt>
                <c:pt idx="4">
                  <c:v>5851.0769230769229</c:v>
                </c:pt>
                <c:pt idx="5">
                  <c:v>5978.8461538461543</c:v>
                </c:pt>
                <c:pt idx="6">
                  <c:v>6451.3125</c:v>
                </c:pt>
                <c:pt idx="7">
                  <c:v>6525.875</c:v>
                </c:pt>
                <c:pt idx="8">
                  <c:v>6860.0666666666666</c:v>
                </c:pt>
                <c:pt idx="9">
                  <c:v>6659.75</c:v>
                </c:pt>
                <c:pt idx="10">
                  <c:v>6614.3529411764703</c:v>
                </c:pt>
                <c:pt idx="11">
                  <c:v>6889.4736842105267</c:v>
                </c:pt>
                <c:pt idx="12">
                  <c:v>7450.8571428571431</c:v>
                </c:pt>
                <c:pt idx="13">
                  <c:v>7313.1111111111113</c:v>
                </c:pt>
                <c:pt idx="14">
                  <c:v>7269.1578947368425</c:v>
                </c:pt>
                <c:pt idx="15">
                  <c:v>7175.7894736842109</c:v>
                </c:pt>
              </c:numCache>
            </c:numRef>
          </c:val>
          <c:smooth val="0"/>
          <c:extLst>
            <c:ext xmlns:c16="http://schemas.microsoft.com/office/drawing/2014/chart" uri="{C3380CC4-5D6E-409C-BE32-E72D297353CC}">
              <c16:uniqueId val="{00000000-1857-4C77-ACB6-E1D66FF559DD}"/>
            </c:ext>
          </c:extLst>
        </c:ser>
        <c:ser>
          <c:idx val="1"/>
          <c:order val="1"/>
          <c:tx>
            <c:v>Branchendurchschnitt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'Aufgabe 1_Lsg'!$A$6:$A$21</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'Aufgabe 1_Lsg'!$E$6:$E$21</c:f>
              <c:numCache>
                <c:formatCode>#,##0.00\ "€"</c:formatCode>
                <c:ptCount val="16"/>
                <c:pt idx="0">
                  <c:v>5690</c:v>
                </c:pt>
                <c:pt idx="1">
                  <c:v>5800</c:v>
                </c:pt>
                <c:pt idx="2">
                  <c:v>5895</c:v>
                </c:pt>
                <c:pt idx="3">
                  <c:v>5905</c:v>
                </c:pt>
                <c:pt idx="4">
                  <c:v>5990</c:v>
                </c:pt>
                <c:pt idx="5">
                  <c:v>6280</c:v>
                </c:pt>
                <c:pt idx="6">
                  <c:v>6475</c:v>
                </c:pt>
                <c:pt idx="7">
                  <c:v>6555</c:v>
                </c:pt>
                <c:pt idx="8">
                  <c:v>6700</c:v>
                </c:pt>
                <c:pt idx="9">
                  <c:v>6720</c:v>
                </c:pt>
                <c:pt idx="10">
                  <c:v>6825</c:v>
                </c:pt>
                <c:pt idx="11">
                  <c:v>6875</c:v>
                </c:pt>
                <c:pt idx="12">
                  <c:v>6880</c:v>
                </c:pt>
                <c:pt idx="13">
                  <c:v>6870</c:v>
                </c:pt>
                <c:pt idx="14">
                  <c:v>6895</c:v>
                </c:pt>
                <c:pt idx="15">
                  <c:v>6915</c:v>
                </c:pt>
              </c:numCache>
            </c:numRef>
          </c:val>
          <c:smooth val="0"/>
          <c:extLst>
            <c:ext xmlns:c16="http://schemas.microsoft.com/office/drawing/2014/chart" uri="{C3380CC4-5D6E-409C-BE32-E72D297353CC}">
              <c16:uniqueId val="{00000001-1857-4C77-ACB6-E1D66FF559DD}"/>
            </c:ext>
          </c:extLst>
        </c:ser>
        <c:dLbls>
          <c:showLegendKey val="0"/>
          <c:showVal val="0"/>
          <c:showCatName val="0"/>
          <c:showSerName val="0"/>
          <c:showPercent val="0"/>
          <c:showBubbleSize val="0"/>
        </c:dLbls>
        <c:marker val="1"/>
        <c:smooth val="0"/>
        <c:axId val="78392320"/>
        <c:axId val="78419072"/>
      </c:lineChart>
      <c:catAx>
        <c:axId val="7839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419072"/>
        <c:crosses val="autoZero"/>
        <c:auto val="1"/>
        <c:lblAlgn val="ctr"/>
        <c:lblOffset val="100"/>
        <c:noMultiLvlLbl val="0"/>
      </c:catAx>
      <c:valAx>
        <c:axId val="78419072"/>
        <c:scaling>
          <c:orientation val="minMax"/>
          <c:max val="8000"/>
          <c:min val="5000"/>
        </c:scaling>
        <c:delete val="0"/>
        <c:axPos val="l"/>
        <c:majorGridlines>
          <c:spPr>
            <a:ln w="9525" cap="flat" cmpd="sng" algn="ctr">
              <a:solidFill>
                <a:schemeClr val="tx1">
                  <a:lumMod val="15000"/>
                  <a:lumOff val="85000"/>
                </a:schemeClr>
              </a:solidFill>
              <a:round/>
            </a:ln>
            <a:effectLst/>
          </c:spPr>
        </c:maj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392320"/>
        <c:crosses val="autoZero"/>
        <c:crossBetween val="between"/>
        <c:majorUnit val="250"/>
      </c:valAx>
      <c:spPr>
        <a:noFill/>
        <a:ln>
          <a:noFill/>
        </a:ln>
        <a:effectLst/>
      </c:spPr>
    </c:plotArea>
    <c:legend>
      <c:legendPos val="t"/>
      <c:overlay val="0"/>
      <c:spPr>
        <a:noFill/>
        <a:ln>
          <a:noFill/>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Handelsspanne unserer "Düfte" in EUR</a:t>
            </a:r>
          </a:p>
        </c:rich>
      </c:tx>
      <c:overlay val="0"/>
    </c:title>
    <c:autoTitleDeleted val="0"/>
    <c:plotArea>
      <c:layout/>
      <c:barChart>
        <c:barDir val="bar"/>
        <c:grouping val="clustered"/>
        <c:varyColors val="0"/>
        <c:ser>
          <c:idx val="0"/>
          <c:order val="0"/>
          <c:spPr>
            <a:solidFill>
              <a:srgbClr val="FF0000"/>
            </a:solidFill>
          </c:spPr>
          <c:invertIfNegative val="0"/>
          <c:cat>
            <c:strRef>
              <c:f>'Aufgabe 11_Lsg'!$B$7:$B$14</c:f>
              <c:strCache>
                <c:ptCount val="8"/>
                <c:pt idx="0">
                  <c:v>"Homme Classique"</c:v>
                </c:pt>
                <c:pt idx="1">
                  <c:v>"THE ONE"</c:v>
                </c:pt>
                <c:pt idx="2">
                  <c:v>"Parfum de Paris"</c:v>
                </c:pt>
                <c:pt idx="3">
                  <c:v>"Roses"</c:v>
                </c:pt>
                <c:pt idx="4">
                  <c:v>"Musk Bottled"</c:v>
                </c:pt>
                <c:pt idx="5">
                  <c:v>"Cool Summer"</c:v>
                </c:pt>
                <c:pt idx="6">
                  <c:v>"Beauty Youth"</c:v>
                </c:pt>
                <c:pt idx="7">
                  <c:v>"Flower"</c:v>
                </c:pt>
              </c:strCache>
            </c:strRef>
          </c:cat>
          <c:val>
            <c:numRef>
              <c:f>'Aufgabe 11_Lsg'!$E$7:$E$14</c:f>
              <c:numCache>
                <c:formatCode>#,##0.00\ "€"</c:formatCode>
                <c:ptCount val="8"/>
                <c:pt idx="0">
                  <c:v>6.4499999999999993</c:v>
                </c:pt>
                <c:pt idx="1">
                  <c:v>11.400000000000002</c:v>
                </c:pt>
                <c:pt idx="2">
                  <c:v>12.299999999999997</c:v>
                </c:pt>
                <c:pt idx="3">
                  <c:v>13.400000000000006</c:v>
                </c:pt>
                <c:pt idx="4">
                  <c:v>15.41</c:v>
                </c:pt>
                <c:pt idx="5">
                  <c:v>17.600000000000001</c:v>
                </c:pt>
                <c:pt idx="6">
                  <c:v>43.9</c:v>
                </c:pt>
                <c:pt idx="7">
                  <c:v>49.11</c:v>
                </c:pt>
              </c:numCache>
            </c:numRef>
          </c:val>
          <c:extLst>
            <c:ext xmlns:c16="http://schemas.microsoft.com/office/drawing/2014/chart" uri="{C3380CC4-5D6E-409C-BE32-E72D297353CC}">
              <c16:uniqueId val="{00000000-8813-4676-979B-B1F1F7D2E0D8}"/>
            </c:ext>
          </c:extLst>
        </c:ser>
        <c:dLbls>
          <c:showLegendKey val="0"/>
          <c:showVal val="0"/>
          <c:showCatName val="0"/>
          <c:showSerName val="0"/>
          <c:showPercent val="0"/>
          <c:showBubbleSize val="0"/>
        </c:dLbls>
        <c:gapWidth val="62"/>
        <c:axId val="100341632"/>
        <c:axId val="100343168"/>
      </c:barChart>
      <c:catAx>
        <c:axId val="100341632"/>
        <c:scaling>
          <c:orientation val="minMax"/>
        </c:scaling>
        <c:delete val="0"/>
        <c:axPos val="l"/>
        <c:numFmt formatCode="General" sourceLinked="0"/>
        <c:majorTickMark val="out"/>
        <c:minorTickMark val="none"/>
        <c:tickLblPos val="nextTo"/>
        <c:crossAx val="100343168"/>
        <c:crosses val="autoZero"/>
        <c:auto val="1"/>
        <c:lblAlgn val="ctr"/>
        <c:lblOffset val="100"/>
        <c:noMultiLvlLbl val="0"/>
      </c:catAx>
      <c:valAx>
        <c:axId val="100343168"/>
        <c:scaling>
          <c:orientation val="minMax"/>
        </c:scaling>
        <c:delete val="0"/>
        <c:axPos val="b"/>
        <c:majorGridlines/>
        <c:numFmt formatCode="#,##0.00\ &quot;€&quot;" sourceLinked="1"/>
        <c:majorTickMark val="out"/>
        <c:minorTickMark val="none"/>
        <c:tickLblPos val="nextTo"/>
        <c:crossAx val="10034163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Anteil am Gesamtumsatz - in %</a:t>
            </a:r>
          </a:p>
        </c:rich>
      </c:tx>
      <c:overlay val="0"/>
    </c:title>
    <c:autoTitleDeleted val="0"/>
    <c:plotArea>
      <c:layout/>
      <c:barChart>
        <c:barDir val="col"/>
        <c:grouping val="clustered"/>
        <c:varyColors val="0"/>
        <c:ser>
          <c:idx val="0"/>
          <c:order val="0"/>
          <c:invertIfNegative val="0"/>
          <c:cat>
            <c:strRef>
              <c:f>'Aufgabe 13_Lsg'!$A$7:$A$9</c:f>
              <c:strCache>
                <c:ptCount val="3"/>
                <c:pt idx="0">
                  <c:v>MagiColour</c:v>
                </c:pt>
                <c:pt idx="1">
                  <c:v>TrueGreen</c:v>
                </c:pt>
                <c:pt idx="2">
                  <c:v>Boston</c:v>
                </c:pt>
              </c:strCache>
            </c:strRef>
          </c:cat>
          <c:val>
            <c:numRef>
              <c:f>'Aufgabe 13_Lsg'!$K$7:$K$9</c:f>
              <c:numCache>
                <c:formatCode>0.00%</c:formatCode>
                <c:ptCount val="3"/>
                <c:pt idx="0">
                  <c:v>0.38371012958557543</c:v>
                </c:pt>
                <c:pt idx="1">
                  <c:v>0.21706242615567545</c:v>
                </c:pt>
                <c:pt idx="2">
                  <c:v>0.39922744425874918</c:v>
                </c:pt>
              </c:numCache>
            </c:numRef>
          </c:val>
          <c:extLst>
            <c:ext xmlns:c16="http://schemas.microsoft.com/office/drawing/2014/chart" uri="{C3380CC4-5D6E-409C-BE32-E72D297353CC}">
              <c16:uniqueId val="{00000000-C12F-419A-A5AE-968B3782FDDF}"/>
            </c:ext>
          </c:extLst>
        </c:ser>
        <c:dLbls>
          <c:showLegendKey val="0"/>
          <c:showVal val="0"/>
          <c:showCatName val="0"/>
          <c:showSerName val="0"/>
          <c:showPercent val="0"/>
          <c:showBubbleSize val="0"/>
        </c:dLbls>
        <c:gapWidth val="150"/>
        <c:axId val="98016256"/>
        <c:axId val="98022144"/>
      </c:barChart>
      <c:catAx>
        <c:axId val="98016256"/>
        <c:scaling>
          <c:orientation val="minMax"/>
        </c:scaling>
        <c:delete val="0"/>
        <c:axPos val="b"/>
        <c:numFmt formatCode="General" sourceLinked="0"/>
        <c:majorTickMark val="out"/>
        <c:minorTickMark val="none"/>
        <c:tickLblPos val="nextTo"/>
        <c:crossAx val="98022144"/>
        <c:crosses val="autoZero"/>
        <c:auto val="1"/>
        <c:lblAlgn val="ctr"/>
        <c:lblOffset val="100"/>
        <c:noMultiLvlLbl val="0"/>
      </c:catAx>
      <c:valAx>
        <c:axId val="98022144"/>
        <c:scaling>
          <c:orientation val="minMax"/>
        </c:scaling>
        <c:delete val="0"/>
        <c:axPos val="l"/>
        <c:majorGridlines/>
        <c:numFmt formatCode="0.00%" sourceLinked="1"/>
        <c:majorTickMark val="out"/>
        <c:minorTickMark val="none"/>
        <c:tickLblPos val="nextTo"/>
        <c:crossAx val="9801625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Anteil am Gesamtumsatz -</a:t>
            </a:r>
            <a:r>
              <a:rPr lang="de-DE" baseline="0"/>
              <a:t> in %</a:t>
            </a:r>
            <a:endParaRPr lang="de-DE"/>
          </a:p>
        </c:rich>
      </c:tx>
      <c:overlay val="0"/>
    </c:title>
    <c:autoTitleDeleted val="0"/>
    <c:plotArea>
      <c:layout/>
      <c:barChart>
        <c:barDir val="col"/>
        <c:grouping val="percentStacked"/>
        <c:varyColors val="0"/>
        <c:ser>
          <c:idx val="0"/>
          <c:order val="0"/>
          <c:tx>
            <c:strRef>
              <c:f>'Aufgabe 13_Lsg'!$A$7</c:f>
              <c:strCache>
                <c:ptCount val="1"/>
                <c:pt idx="0">
                  <c:v>MagiColour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Anteil am Umsatz</c:v>
              </c:pt>
            </c:strLit>
          </c:cat>
          <c:val>
            <c:numRef>
              <c:f>'Aufgabe 13_Lsg'!$K$7</c:f>
              <c:numCache>
                <c:formatCode>0.00%</c:formatCode>
                <c:ptCount val="1"/>
                <c:pt idx="0">
                  <c:v>0.38371012958557543</c:v>
                </c:pt>
              </c:numCache>
            </c:numRef>
          </c:val>
          <c:extLst>
            <c:ext xmlns:c16="http://schemas.microsoft.com/office/drawing/2014/chart" uri="{C3380CC4-5D6E-409C-BE32-E72D297353CC}">
              <c16:uniqueId val="{00000000-AFE4-41D6-A42E-38457EA59F80}"/>
            </c:ext>
          </c:extLst>
        </c:ser>
        <c:ser>
          <c:idx val="1"/>
          <c:order val="1"/>
          <c:tx>
            <c:strRef>
              <c:f>'Aufgabe 13_Lsg'!$A$8</c:f>
              <c:strCache>
                <c:ptCount val="1"/>
                <c:pt idx="0">
                  <c:v>TrueGreen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Anteil am Umsatz</c:v>
              </c:pt>
            </c:strLit>
          </c:cat>
          <c:val>
            <c:numRef>
              <c:f>'Aufgabe 13_Lsg'!$K$8</c:f>
              <c:numCache>
                <c:formatCode>0.00%</c:formatCode>
                <c:ptCount val="1"/>
                <c:pt idx="0">
                  <c:v>0.21706242615567545</c:v>
                </c:pt>
              </c:numCache>
            </c:numRef>
          </c:val>
          <c:extLst>
            <c:ext xmlns:c16="http://schemas.microsoft.com/office/drawing/2014/chart" uri="{C3380CC4-5D6E-409C-BE32-E72D297353CC}">
              <c16:uniqueId val="{00000001-AFE4-41D6-A42E-38457EA59F80}"/>
            </c:ext>
          </c:extLst>
        </c:ser>
        <c:ser>
          <c:idx val="2"/>
          <c:order val="2"/>
          <c:tx>
            <c:strRef>
              <c:f>'Aufgabe 13_Lsg'!$A$9</c:f>
              <c:strCache>
                <c:ptCount val="1"/>
                <c:pt idx="0">
                  <c:v>Boston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Anteil am Umsatz</c:v>
              </c:pt>
            </c:strLit>
          </c:cat>
          <c:val>
            <c:numRef>
              <c:f>'Aufgabe 13_Lsg'!$K$9</c:f>
              <c:numCache>
                <c:formatCode>0.00%</c:formatCode>
                <c:ptCount val="1"/>
                <c:pt idx="0">
                  <c:v>0.39922744425874918</c:v>
                </c:pt>
              </c:numCache>
            </c:numRef>
          </c:val>
          <c:extLst>
            <c:ext xmlns:c16="http://schemas.microsoft.com/office/drawing/2014/chart" uri="{C3380CC4-5D6E-409C-BE32-E72D297353CC}">
              <c16:uniqueId val="{00000002-AFE4-41D6-A42E-38457EA59F80}"/>
            </c:ext>
          </c:extLst>
        </c:ser>
        <c:dLbls>
          <c:showLegendKey val="0"/>
          <c:showVal val="0"/>
          <c:showCatName val="0"/>
          <c:showSerName val="0"/>
          <c:showPercent val="0"/>
          <c:showBubbleSize val="0"/>
        </c:dLbls>
        <c:gapWidth val="150"/>
        <c:overlap val="100"/>
        <c:axId val="103829888"/>
        <c:axId val="103831424"/>
      </c:barChart>
      <c:catAx>
        <c:axId val="103829888"/>
        <c:scaling>
          <c:orientation val="minMax"/>
        </c:scaling>
        <c:delete val="0"/>
        <c:axPos val="b"/>
        <c:numFmt formatCode="General" sourceLinked="0"/>
        <c:majorTickMark val="out"/>
        <c:minorTickMark val="none"/>
        <c:tickLblPos val="nextTo"/>
        <c:crossAx val="103831424"/>
        <c:crosses val="autoZero"/>
        <c:auto val="1"/>
        <c:lblAlgn val="ctr"/>
        <c:lblOffset val="100"/>
        <c:noMultiLvlLbl val="0"/>
      </c:catAx>
      <c:valAx>
        <c:axId val="103831424"/>
        <c:scaling>
          <c:orientation val="minMax"/>
        </c:scaling>
        <c:delete val="1"/>
        <c:axPos val="l"/>
        <c:numFmt formatCode="0%" sourceLinked="1"/>
        <c:majorTickMark val="out"/>
        <c:minorTickMark val="none"/>
        <c:tickLblPos val="nextTo"/>
        <c:crossAx val="10382988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Durchschnittliche Überstunden je MA und Abteilung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3"/>
          <c:order val="0"/>
          <c:tx>
            <c:strRef>
              <c:f>'Aufgabe 14_Lsg'!$E$6</c:f>
              <c:strCache>
                <c:ptCount val="1"/>
                <c:pt idx="0">
                  <c:v>Buchhaltung</c:v>
                </c:pt>
              </c:strCache>
            </c:strRef>
          </c:tx>
          <c:spPr>
            <a:ln w="28575" cap="rnd">
              <a:solidFill>
                <a:schemeClr val="accent4"/>
              </a:solidFill>
              <a:round/>
            </a:ln>
            <a:effectLst/>
          </c:spPr>
          <c:marker>
            <c:symbol val="none"/>
          </c:marker>
          <c:cat>
            <c:strRef>
              <c:f>'Aufgabe 14_Lsg'!$A$7:$A$18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'Aufgabe 14_Lsg'!$E$7:$E$18</c:f>
              <c:numCache>
                <c:formatCode>General</c:formatCode>
                <c:ptCount val="12"/>
                <c:pt idx="0">
                  <c:v>9.3000000000000007</c:v>
                </c:pt>
                <c:pt idx="1">
                  <c:v>8.6999999999999993</c:v>
                </c:pt>
                <c:pt idx="2">
                  <c:v>8.8000000000000007</c:v>
                </c:pt>
                <c:pt idx="3">
                  <c:v>7.9</c:v>
                </c:pt>
                <c:pt idx="4">
                  <c:v>8.1</c:v>
                </c:pt>
                <c:pt idx="5">
                  <c:v>7.8</c:v>
                </c:pt>
                <c:pt idx="6">
                  <c:v>7.7</c:v>
                </c:pt>
                <c:pt idx="7">
                  <c:v>7.9</c:v>
                </c:pt>
                <c:pt idx="8">
                  <c:v>9.1</c:v>
                </c:pt>
                <c:pt idx="9">
                  <c:v>9.6</c:v>
                </c:pt>
                <c:pt idx="10">
                  <c:v>10.3</c:v>
                </c:pt>
                <c:pt idx="11">
                  <c:v>10.6</c:v>
                </c:pt>
              </c:numCache>
            </c:numRef>
          </c:val>
          <c:smooth val="0"/>
          <c:extLst>
            <c:ext xmlns:c16="http://schemas.microsoft.com/office/drawing/2014/chart" uri="{C3380CC4-5D6E-409C-BE32-E72D297353CC}">
              <c16:uniqueId val="{00000003-4B91-4028-8CE0-9E5870232F54}"/>
            </c:ext>
          </c:extLst>
        </c:ser>
        <c:ser>
          <c:idx val="5"/>
          <c:order val="1"/>
          <c:tx>
            <c:strRef>
              <c:f>'Aufgabe 14_Lsg'!$G$6</c:f>
              <c:strCache>
                <c:ptCount val="1"/>
                <c:pt idx="0">
                  <c:v>Marketing</c:v>
                </c:pt>
              </c:strCache>
            </c:strRef>
          </c:tx>
          <c:spPr>
            <a:ln w="28575" cap="rnd">
              <a:solidFill>
                <a:schemeClr val="accent6"/>
              </a:solidFill>
              <a:round/>
            </a:ln>
            <a:effectLst/>
          </c:spPr>
          <c:marker>
            <c:symbol val="none"/>
          </c:marker>
          <c:cat>
            <c:strRef>
              <c:f>'Aufgabe 14_Lsg'!$A$7:$A$18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'Aufgabe 14_Lsg'!$G$7:$G$18</c:f>
              <c:numCache>
                <c:formatCode>General</c:formatCode>
                <c:ptCount val="12"/>
                <c:pt idx="0">
                  <c:v>1.3</c:v>
                </c:pt>
                <c:pt idx="1">
                  <c:v>3.1</c:v>
                </c:pt>
                <c:pt idx="2">
                  <c:v>1.5</c:v>
                </c:pt>
                <c:pt idx="3">
                  <c:v>1</c:v>
                </c:pt>
                <c:pt idx="4">
                  <c:v>1.6</c:v>
                </c:pt>
                <c:pt idx="5">
                  <c:v>1.4</c:v>
                </c:pt>
                <c:pt idx="6">
                  <c:v>1.7</c:v>
                </c:pt>
                <c:pt idx="7">
                  <c:v>1.2</c:v>
                </c:pt>
                <c:pt idx="8">
                  <c:v>3.2</c:v>
                </c:pt>
                <c:pt idx="9">
                  <c:v>2.2000000000000002</c:v>
                </c:pt>
                <c:pt idx="10">
                  <c:v>2.9</c:v>
                </c:pt>
                <c:pt idx="11">
                  <c:v>2.1</c:v>
                </c:pt>
              </c:numCache>
            </c:numRef>
          </c:val>
          <c:smooth val="0"/>
          <c:extLst>
            <c:ext xmlns:c16="http://schemas.microsoft.com/office/drawing/2014/chart" uri="{C3380CC4-5D6E-409C-BE32-E72D297353CC}">
              <c16:uniqueId val="{00000005-4B91-4028-8CE0-9E5870232F54}"/>
            </c:ext>
          </c:extLst>
        </c:ser>
        <c:ser>
          <c:idx val="1"/>
          <c:order val="2"/>
          <c:tx>
            <c:strRef>
              <c:f>'Aufgabe 14_Lsg'!$C$6</c:f>
              <c:strCache>
                <c:ptCount val="1"/>
                <c:pt idx="0">
                  <c:v>Einkauf</c:v>
                </c:pt>
              </c:strCache>
            </c:strRef>
          </c:tx>
          <c:spPr>
            <a:ln w="28575" cap="rnd">
              <a:solidFill>
                <a:schemeClr val="accent2"/>
              </a:solidFill>
              <a:round/>
            </a:ln>
            <a:effectLst/>
          </c:spPr>
          <c:marker>
            <c:symbol val="none"/>
          </c:marker>
          <c:cat>
            <c:strRef>
              <c:f>'Aufgabe 14_Lsg'!$A$7:$A$18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'Aufgabe 14_Lsg'!$C$7:$C$18</c:f>
              <c:numCache>
                <c:formatCode>General</c:formatCode>
                <c:ptCount val="12"/>
                <c:pt idx="0">
                  <c:v>2.1</c:v>
                </c:pt>
                <c:pt idx="1">
                  <c:v>2.9</c:v>
                </c:pt>
                <c:pt idx="2">
                  <c:v>4.0999999999999996</c:v>
                </c:pt>
                <c:pt idx="3">
                  <c:v>2.5</c:v>
                </c:pt>
                <c:pt idx="4">
                  <c:v>2</c:v>
                </c:pt>
                <c:pt idx="5">
                  <c:v>1.9</c:v>
                </c:pt>
                <c:pt idx="6">
                  <c:v>1.4</c:v>
                </c:pt>
                <c:pt idx="7">
                  <c:v>1.1000000000000001</c:v>
                </c:pt>
                <c:pt idx="8">
                  <c:v>1.9</c:v>
                </c:pt>
                <c:pt idx="9">
                  <c:v>2.1</c:v>
                </c:pt>
                <c:pt idx="10">
                  <c:v>2.8</c:v>
                </c:pt>
                <c:pt idx="11">
                  <c:v>2.1</c:v>
                </c:pt>
              </c:numCache>
            </c:numRef>
          </c:val>
          <c:smooth val="0"/>
          <c:extLst>
            <c:ext xmlns:c16="http://schemas.microsoft.com/office/drawing/2014/chart" uri="{C3380CC4-5D6E-409C-BE32-E72D297353CC}">
              <c16:uniqueId val="{00000001-4B91-4028-8CE0-9E5870232F54}"/>
            </c:ext>
          </c:extLst>
        </c:ser>
        <c:ser>
          <c:idx val="4"/>
          <c:order val="3"/>
          <c:tx>
            <c:strRef>
              <c:f>'Aufgabe 14_Lsg'!$F$6</c:f>
              <c:strCache>
                <c:ptCount val="1"/>
                <c:pt idx="0">
                  <c:v>Vertrieb</c:v>
                </c:pt>
              </c:strCache>
            </c:strRef>
          </c:tx>
          <c:spPr>
            <a:ln w="28575" cap="rnd">
              <a:solidFill>
                <a:schemeClr val="accent5"/>
              </a:solidFill>
              <a:round/>
            </a:ln>
            <a:effectLst/>
          </c:spPr>
          <c:marker>
            <c:symbol val="none"/>
          </c:marker>
          <c:cat>
            <c:strRef>
              <c:f>'Aufgabe 14_Lsg'!$A$7:$A$18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'Aufgabe 14_Lsg'!$F$7:$F$18</c:f>
              <c:numCache>
                <c:formatCode>General</c:formatCode>
                <c:ptCount val="12"/>
                <c:pt idx="0">
                  <c:v>4.0999999999999996</c:v>
                </c:pt>
                <c:pt idx="1">
                  <c:v>5.4</c:v>
                </c:pt>
                <c:pt idx="2">
                  <c:v>4.9000000000000004</c:v>
                </c:pt>
                <c:pt idx="3">
                  <c:v>2.1</c:v>
                </c:pt>
                <c:pt idx="4">
                  <c:v>2.2999999999999998</c:v>
                </c:pt>
                <c:pt idx="5">
                  <c:v>1.5</c:v>
                </c:pt>
                <c:pt idx="6">
                  <c:v>3.1</c:v>
                </c:pt>
                <c:pt idx="7">
                  <c:v>0.7</c:v>
                </c:pt>
                <c:pt idx="8">
                  <c:v>1.3</c:v>
                </c:pt>
                <c:pt idx="9">
                  <c:v>3.2</c:v>
                </c:pt>
                <c:pt idx="10">
                  <c:v>2.2000000000000002</c:v>
                </c:pt>
                <c:pt idx="11">
                  <c:v>2</c:v>
                </c:pt>
              </c:numCache>
            </c:numRef>
          </c:val>
          <c:smooth val="0"/>
          <c:extLst>
            <c:ext xmlns:c16="http://schemas.microsoft.com/office/drawing/2014/chart" uri="{C3380CC4-5D6E-409C-BE32-E72D297353CC}">
              <c16:uniqueId val="{00000004-4B91-4028-8CE0-9E5870232F54}"/>
            </c:ext>
          </c:extLst>
        </c:ser>
        <c:ser>
          <c:idx val="0"/>
          <c:order val="4"/>
          <c:tx>
            <c:strRef>
              <c:f>'Aufgabe 14_Lsg'!$B$6</c:f>
              <c:strCache>
                <c:ptCount val="1"/>
                <c:pt idx="0">
                  <c:v>Verwaltung</c:v>
                </c:pt>
              </c:strCache>
            </c:strRef>
          </c:tx>
          <c:spPr>
            <a:ln w="28575" cap="rnd">
              <a:solidFill>
                <a:schemeClr val="accent1"/>
              </a:solidFill>
              <a:round/>
            </a:ln>
            <a:effectLst/>
          </c:spPr>
          <c:marker>
            <c:symbol val="none"/>
          </c:marker>
          <c:cat>
            <c:strRef>
              <c:f>'Aufgabe 14_Lsg'!$A$7:$A$18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'Aufgabe 14_Lsg'!$B$7:$B$18</c:f>
              <c:numCache>
                <c:formatCode>General</c:formatCode>
                <c:ptCount val="12"/>
                <c:pt idx="0">
                  <c:v>4.2</c:v>
                </c:pt>
                <c:pt idx="1">
                  <c:v>4.7</c:v>
                </c:pt>
                <c:pt idx="2">
                  <c:v>4</c:v>
                </c:pt>
                <c:pt idx="3">
                  <c:v>3.6</c:v>
                </c:pt>
                <c:pt idx="4">
                  <c:v>1.8</c:v>
                </c:pt>
                <c:pt idx="5">
                  <c:v>1.4</c:v>
                </c:pt>
                <c:pt idx="6">
                  <c:v>1.1000000000000001</c:v>
                </c:pt>
                <c:pt idx="7">
                  <c:v>0.8</c:v>
                </c:pt>
                <c:pt idx="8">
                  <c:v>2.1</c:v>
                </c:pt>
                <c:pt idx="9">
                  <c:v>2</c:v>
                </c:pt>
                <c:pt idx="10">
                  <c:v>1.4</c:v>
                </c:pt>
                <c:pt idx="11">
                  <c:v>1.3</c:v>
                </c:pt>
              </c:numCache>
            </c:numRef>
          </c:val>
          <c:smooth val="0"/>
          <c:extLst>
            <c:ext xmlns:c16="http://schemas.microsoft.com/office/drawing/2014/chart" uri="{C3380CC4-5D6E-409C-BE32-E72D297353CC}">
              <c16:uniqueId val="{00000000-4B91-4028-8CE0-9E5870232F54}"/>
            </c:ext>
          </c:extLst>
        </c:ser>
        <c:ser>
          <c:idx val="2"/>
          <c:order val="5"/>
          <c:tx>
            <c:strRef>
              <c:f>'Aufgabe 14_Lsg'!$D$6</c:f>
              <c:strCache>
                <c:ptCount val="1"/>
                <c:pt idx="0">
                  <c:v>Personal</c:v>
                </c:pt>
              </c:strCache>
            </c:strRef>
          </c:tx>
          <c:spPr>
            <a:ln w="28575" cap="rnd">
              <a:solidFill>
                <a:schemeClr val="accent3"/>
              </a:solidFill>
              <a:round/>
            </a:ln>
            <a:effectLst/>
          </c:spPr>
          <c:marker>
            <c:symbol val="none"/>
          </c:marker>
          <c:cat>
            <c:strRef>
              <c:f>'Aufgabe 14_Lsg'!$A$7:$A$18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'Aufgabe 14_Lsg'!$D$7:$D$18</c:f>
              <c:numCache>
                <c:formatCode>General</c:formatCode>
                <c:ptCount val="12"/>
                <c:pt idx="0">
                  <c:v>2.8</c:v>
                </c:pt>
                <c:pt idx="1">
                  <c:v>2.2999999999999998</c:v>
                </c:pt>
                <c:pt idx="2">
                  <c:v>2.1</c:v>
                </c:pt>
                <c:pt idx="3">
                  <c:v>2.4</c:v>
                </c:pt>
                <c:pt idx="4">
                  <c:v>1.7</c:v>
                </c:pt>
                <c:pt idx="5">
                  <c:v>1.1000000000000001</c:v>
                </c:pt>
                <c:pt idx="6">
                  <c:v>1.3</c:v>
                </c:pt>
                <c:pt idx="7">
                  <c:v>0.1</c:v>
                </c:pt>
                <c:pt idx="8">
                  <c:v>1.1000000000000001</c:v>
                </c:pt>
                <c:pt idx="9">
                  <c:v>2</c:v>
                </c:pt>
                <c:pt idx="10">
                  <c:v>1.7</c:v>
                </c:pt>
                <c:pt idx="11">
                  <c:v>0.8</c:v>
                </c:pt>
              </c:numCache>
            </c:numRef>
          </c:val>
          <c:smooth val="0"/>
          <c:extLst>
            <c:ext xmlns:c16="http://schemas.microsoft.com/office/drawing/2014/chart" uri="{C3380CC4-5D6E-409C-BE32-E72D297353CC}">
              <c16:uniqueId val="{00000002-4B91-4028-8CE0-9E5870232F54}"/>
            </c:ext>
          </c:extLst>
        </c:ser>
        <c:dLbls>
          <c:showLegendKey val="0"/>
          <c:showVal val="0"/>
          <c:showCatName val="0"/>
          <c:showSerName val="0"/>
          <c:showPercent val="0"/>
          <c:showBubbleSize val="0"/>
        </c:dLbls>
        <c:smooth val="0"/>
        <c:axId val="97273728"/>
        <c:axId val="97275264"/>
      </c:lineChart>
      <c:catAx>
        <c:axId val="9727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275264"/>
        <c:crosses val="autoZero"/>
        <c:auto val="1"/>
        <c:lblAlgn val="ctr"/>
        <c:lblOffset val="100"/>
        <c:noMultiLvlLbl val="0"/>
      </c:catAx>
      <c:valAx>
        <c:axId val="97275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273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Anteil nicht-verkaufter Karten bei 15% im Wochendurchschnitt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2-B9D5-490F-A769-2745FE2DE6AB}"/>
              </c:ext>
            </c:extLst>
          </c:dPt>
          <c:dPt>
            <c:idx val="1"/>
            <c:bubble3D val="0"/>
            <c:explosion val="13"/>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B9D5-490F-A769-2745FE2DE6AB}"/>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'Aufgabe 15_Lsg'!$E$5:$F$6</c:f>
              <c:strCache>
                <c:ptCount val="2"/>
                <c:pt idx="0">
                  <c:v>Verkaufte Karten</c:v>
                </c:pt>
                <c:pt idx="1">
                  <c:v>Freie Plätze</c:v>
                </c:pt>
              </c:strCache>
            </c:strRef>
          </c:cat>
          <c:val>
            <c:numRef>
              <c:f>'Aufgabe 15_Lsg'!$E$15:$F$15</c:f>
              <c:numCache>
                <c:formatCode>#,##0</c:formatCode>
                <c:ptCount val="2"/>
                <c:pt idx="0">
                  <c:v>12136</c:v>
                </c:pt>
                <c:pt idx="1">
                  <c:v>2914</c:v>
                </c:pt>
              </c:numCache>
            </c:numRef>
          </c:val>
          <c:extLst>
            <c:ext xmlns:c16="http://schemas.microsoft.com/office/drawing/2014/chart" uri="{C3380CC4-5D6E-409C-BE32-E72D297353CC}">
              <c16:uniqueId val="{00000000-B9D5-490F-A769-2745FE2DE6A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Vergleich EK- und Umsatzrendite</a:t>
            </a:r>
            <a:r>
              <a:rPr lang="de-DE" baseline="0"/>
              <a:t> zu mit Vorjahr</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v>Aktuelles Jahr</c:v>
          </c:tx>
          <c:spPr>
            <a:solidFill>
              <a:schemeClr val="accent1"/>
            </a:solidFill>
            <a:ln>
              <a:noFill/>
            </a:ln>
            <a:effectLst/>
          </c:spPr>
          <c:invertIfNegative val="0"/>
          <c:cat>
            <c:strRef>
              <c:f>('Aufgabe 16_Lsg'!$A$13,'Aufgabe 16_Lsg'!$A$15)</c:f>
              <c:strCache>
                <c:ptCount val="2"/>
                <c:pt idx="0">
                  <c:v>EK-Rentabilität</c:v>
                </c:pt>
                <c:pt idx="1">
                  <c:v>Umsatz-Rentabilität</c:v>
                </c:pt>
              </c:strCache>
            </c:strRef>
          </c:cat>
          <c:val>
            <c:numRef>
              <c:f>('Aufgabe 16_Lsg'!$B$13,'Aufgabe 16_Lsg'!$B$15)</c:f>
              <c:numCache>
                <c:formatCode>0.0%</c:formatCode>
                <c:ptCount val="2"/>
                <c:pt idx="0">
                  <c:v>0.15148480662983427</c:v>
                </c:pt>
                <c:pt idx="1">
                  <c:v>1.9466786653425525E-2</c:v>
                </c:pt>
              </c:numCache>
            </c:numRef>
          </c:val>
          <c:extLst>
            <c:ext xmlns:c16="http://schemas.microsoft.com/office/drawing/2014/chart" uri="{C3380CC4-5D6E-409C-BE32-E72D297353CC}">
              <c16:uniqueId val="{00000000-A832-45C7-B0B8-B1CC51983D8E}"/>
            </c:ext>
          </c:extLst>
        </c:ser>
        <c:ser>
          <c:idx val="1"/>
          <c:order val="1"/>
          <c:tx>
            <c:v>Vorjahr</c:v>
          </c:tx>
          <c:spPr>
            <a:solidFill>
              <a:schemeClr val="accent2"/>
            </a:solidFill>
            <a:ln>
              <a:noFill/>
            </a:ln>
            <a:effectLst/>
          </c:spPr>
          <c:invertIfNegative val="0"/>
          <c:cat>
            <c:strRef>
              <c:f>('Aufgabe 16_Lsg'!$A$13,'Aufgabe 16_Lsg'!$A$15)</c:f>
              <c:strCache>
                <c:ptCount val="2"/>
                <c:pt idx="0">
                  <c:v>EK-Rentabilität</c:v>
                </c:pt>
                <c:pt idx="1">
                  <c:v>Umsatz-Rentabilität</c:v>
                </c:pt>
              </c:strCache>
            </c:strRef>
          </c:cat>
          <c:val>
            <c:numRef>
              <c:f>('Aufgabe 16_Lsg'!$C$13,'Aufgabe 16_Lsg'!$C$15)</c:f>
              <c:numCache>
                <c:formatCode>0.0%</c:formatCode>
                <c:ptCount val="2"/>
                <c:pt idx="0">
                  <c:v>0.1075</c:v>
                </c:pt>
                <c:pt idx="1">
                  <c:v>1.3277493314786613E-2</c:v>
                </c:pt>
              </c:numCache>
            </c:numRef>
          </c:val>
          <c:extLst>
            <c:ext xmlns:c16="http://schemas.microsoft.com/office/drawing/2014/chart" uri="{C3380CC4-5D6E-409C-BE32-E72D297353CC}">
              <c16:uniqueId val="{00000001-A832-45C7-B0B8-B1CC51983D8E}"/>
            </c:ext>
          </c:extLst>
        </c:ser>
        <c:dLbls>
          <c:showLegendKey val="0"/>
          <c:showVal val="0"/>
          <c:showCatName val="0"/>
          <c:showSerName val="0"/>
          <c:showPercent val="0"/>
          <c:showBubbleSize val="0"/>
        </c:dLbls>
        <c:gapWidth val="219"/>
        <c:axId val="103650816"/>
        <c:axId val="103652352"/>
      </c:barChart>
      <c:catAx>
        <c:axId val="10365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3652352"/>
        <c:crosses val="autoZero"/>
        <c:auto val="1"/>
        <c:lblAlgn val="ctr"/>
        <c:lblOffset val="100"/>
        <c:noMultiLvlLbl val="0"/>
      </c:catAx>
      <c:valAx>
        <c:axId val="103652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365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Anteil der Filialen am Gesamtumsatz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percentStacked"/>
        <c:varyColors val="0"/>
        <c:ser>
          <c:idx val="0"/>
          <c:order val="0"/>
          <c:tx>
            <c:strRef>
              <c:f>'Aufgabe 17_Lsg'!$A$6</c:f>
              <c:strCache>
                <c:ptCount val="1"/>
                <c:pt idx="0">
                  <c:v>Filiale 1</c:v>
                </c:pt>
              </c:strCache>
            </c:strRef>
          </c:tx>
          <c:spPr>
            <a:solidFill>
              <a:schemeClr val="accent1"/>
            </a:solidFill>
            <a:ln>
              <a:noFill/>
            </a:ln>
            <a:effectLst/>
          </c:spPr>
          <c:invertIfNegative val="0"/>
          <c:cat>
            <c:strRef>
              <c:f>'Aufgabe 17_Lsg'!$B$5:$F$5</c:f>
              <c:strCache>
                <c:ptCount val="5"/>
                <c:pt idx="0">
                  <c:v>1. Quartal</c:v>
                </c:pt>
                <c:pt idx="1">
                  <c:v>2. Quartal</c:v>
                </c:pt>
                <c:pt idx="2">
                  <c:v>3. Quartal</c:v>
                </c:pt>
                <c:pt idx="3">
                  <c:v>4. Quartal</c:v>
                </c:pt>
                <c:pt idx="4">
                  <c:v>Summe</c:v>
                </c:pt>
              </c:strCache>
            </c:strRef>
          </c:cat>
          <c:val>
            <c:numRef>
              <c:f>'Aufgabe 17_Lsg'!$B$6:$F$6</c:f>
              <c:numCache>
                <c:formatCode>#,##0.00\ "€"</c:formatCode>
                <c:ptCount val="5"/>
                <c:pt idx="0">
                  <c:v>11967</c:v>
                </c:pt>
                <c:pt idx="1">
                  <c:v>8364</c:v>
                </c:pt>
                <c:pt idx="2">
                  <c:v>14489</c:v>
                </c:pt>
                <c:pt idx="3">
                  <c:v>20989</c:v>
                </c:pt>
                <c:pt idx="4">
                  <c:v>55809</c:v>
                </c:pt>
              </c:numCache>
            </c:numRef>
          </c:val>
          <c:extLst>
            <c:ext xmlns:c16="http://schemas.microsoft.com/office/drawing/2014/chart" uri="{C3380CC4-5D6E-409C-BE32-E72D297353CC}">
              <c16:uniqueId val="{00000000-651D-41DB-B4D4-056853F3B616}"/>
            </c:ext>
          </c:extLst>
        </c:ser>
        <c:ser>
          <c:idx val="1"/>
          <c:order val="1"/>
          <c:tx>
            <c:strRef>
              <c:f>'Aufgabe 17_Lsg'!$A$7</c:f>
              <c:strCache>
                <c:ptCount val="1"/>
                <c:pt idx="0">
                  <c:v>Filiale 2</c:v>
                </c:pt>
              </c:strCache>
            </c:strRef>
          </c:tx>
          <c:spPr>
            <a:solidFill>
              <a:schemeClr val="accent2"/>
            </a:solidFill>
            <a:ln>
              <a:noFill/>
            </a:ln>
            <a:effectLst/>
          </c:spPr>
          <c:invertIfNegative val="0"/>
          <c:cat>
            <c:strRef>
              <c:f>'Aufgabe 17_Lsg'!$B$5:$F$5</c:f>
              <c:strCache>
                <c:ptCount val="5"/>
                <c:pt idx="0">
                  <c:v>1. Quartal</c:v>
                </c:pt>
                <c:pt idx="1">
                  <c:v>2. Quartal</c:v>
                </c:pt>
                <c:pt idx="2">
                  <c:v>3. Quartal</c:v>
                </c:pt>
                <c:pt idx="3">
                  <c:v>4. Quartal</c:v>
                </c:pt>
                <c:pt idx="4">
                  <c:v>Summe</c:v>
                </c:pt>
              </c:strCache>
            </c:strRef>
          </c:cat>
          <c:val>
            <c:numRef>
              <c:f>'Aufgabe 17_Lsg'!$B$7:$F$7</c:f>
              <c:numCache>
                <c:formatCode>#,##0.00\ "€"</c:formatCode>
                <c:ptCount val="5"/>
                <c:pt idx="0">
                  <c:v>6749</c:v>
                </c:pt>
                <c:pt idx="1">
                  <c:v>7902</c:v>
                </c:pt>
                <c:pt idx="2">
                  <c:v>8898</c:v>
                </c:pt>
                <c:pt idx="3">
                  <c:v>9789</c:v>
                </c:pt>
                <c:pt idx="4">
                  <c:v>33338</c:v>
                </c:pt>
              </c:numCache>
            </c:numRef>
          </c:val>
          <c:extLst>
            <c:ext xmlns:c16="http://schemas.microsoft.com/office/drawing/2014/chart" uri="{C3380CC4-5D6E-409C-BE32-E72D297353CC}">
              <c16:uniqueId val="{00000001-651D-41DB-B4D4-056853F3B616}"/>
            </c:ext>
          </c:extLst>
        </c:ser>
        <c:ser>
          <c:idx val="2"/>
          <c:order val="2"/>
          <c:tx>
            <c:strRef>
              <c:f>'Aufgabe 17_Lsg'!$A$8</c:f>
              <c:strCache>
                <c:ptCount val="1"/>
                <c:pt idx="0">
                  <c:v>Filiale 3</c:v>
                </c:pt>
              </c:strCache>
            </c:strRef>
          </c:tx>
          <c:spPr>
            <a:solidFill>
              <a:schemeClr val="accent3"/>
            </a:solidFill>
            <a:ln>
              <a:noFill/>
            </a:ln>
            <a:effectLst/>
          </c:spPr>
          <c:invertIfNegative val="0"/>
          <c:cat>
            <c:strRef>
              <c:f>'Aufgabe 17_Lsg'!$B$5:$F$5</c:f>
              <c:strCache>
                <c:ptCount val="5"/>
                <c:pt idx="0">
                  <c:v>1. Quartal</c:v>
                </c:pt>
                <c:pt idx="1">
                  <c:v>2. Quartal</c:v>
                </c:pt>
                <c:pt idx="2">
                  <c:v>3. Quartal</c:v>
                </c:pt>
                <c:pt idx="3">
                  <c:v>4. Quartal</c:v>
                </c:pt>
                <c:pt idx="4">
                  <c:v>Summe</c:v>
                </c:pt>
              </c:strCache>
            </c:strRef>
          </c:cat>
          <c:val>
            <c:numRef>
              <c:f>'Aufgabe 17_Lsg'!$B$8:$F$8</c:f>
              <c:numCache>
                <c:formatCode>#,##0.00\ "€"</c:formatCode>
                <c:ptCount val="5"/>
                <c:pt idx="0">
                  <c:v>21497</c:v>
                </c:pt>
                <c:pt idx="1">
                  <c:v>18702</c:v>
                </c:pt>
                <c:pt idx="2">
                  <c:v>17509</c:v>
                </c:pt>
                <c:pt idx="3">
                  <c:v>14993</c:v>
                </c:pt>
                <c:pt idx="4">
                  <c:v>72701</c:v>
                </c:pt>
              </c:numCache>
            </c:numRef>
          </c:val>
          <c:extLst>
            <c:ext xmlns:c16="http://schemas.microsoft.com/office/drawing/2014/chart" uri="{C3380CC4-5D6E-409C-BE32-E72D297353CC}">
              <c16:uniqueId val="{00000002-651D-41DB-B4D4-056853F3B616}"/>
            </c:ext>
          </c:extLst>
        </c:ser>
        <c:ser>
          <c:idx val="3"/>
          <c:order val="3"/>
          <c:tx>
            <c:strRef>
              <c:f>'Aufgabe 17_Lsg'!$A$9</c:f>
              <c:strCache>
                <c:ptCount val="1"/>
                <c:pt idx="0">
                  <c:v>Filiale 4</c:v>
                </c:pt>
              </c:strCache>
            </c:strRef>
          </c:tx>
          <c:spPr>
            <a:solidFill>
              <a:schemeClr val="accent4"/>
            </a:solidFill>
            <a:ln>
              <a:noFill/>
            </a:ln>
            <a:effectLst/>
          </c:spPr>
          <c:invertIfNegative val="0"/>
          <c:cat>
            <c:strRef>
              <c:f>'Aufgabe 17_Lsg'!$B$5:$F$5</c:f>
              <c:strCache>
                <c:ptCount val="5"/>
                <c:pt idx="0">
                  <c:v>1. Quartal</c:v>
                </c:pt>
                <c:pt idx="1">
                  <c:v>2. Quartal</c:v>
                </c:pt>
                <c:pt idx="2">
                  <c:v>3. Quartal</c:v>
                </c:pt>
                <c:pt idx="3">
                  <c:v>4. Quartal</c:v>
                </c:pt>
                <c:pt idx="4">
                  <c:v>Summe</c:v>
                </c:pt>
              </c:strCache>
            </c:strRef>
          </c:cat>
          <c:val>
            <c:numRef>
              <c:f>'Aufgabe 17_Lsg'!$B$9:$F$9</c:f>
              <c:numCache>
                <c:formatCode>#,##0.00\ "€"</c:formatCode>
                <c:ptCount val="5"/>
                <c:pt idx="0">
                  <c:v>19789</c:v>
                </c:pt>
                <c:pt idx="1">
                  <c:v>21649</c:v>
                </c:pt>
                <c:pt idx="2">
                  <c:v>21411</c:v>
                </c:pt>
                <c:pt idx="3">
                  <c:v>23401</c:v>
                </c:pt>
                <c:pt idx="4">
                  <c:v>86250</c:v>
                </c:pt>
              </c:numCache>
            </c:numRef>
          </c:val>
          <c:extLst>
            <c:ext xmlns:c16="http://schemas.microsoft.com/office/drawing/2014/chart" uri="{C3380CC4-5D6E-409C-BE32-E72D297353CC}">
              <c16:uniqueId val="{00000003-651D-41DB-B4D4-056853F3B616}"/>
            </c:ext>
          </c:extLst>
        </c:ser>
        <c:ser>
          <c:idx val="4"/>
          <c:order val="4"/>
          <c:tx>
            <c:strRef>
              <c:f>'Aufgabe 17_Lsg'!$A$10</c:f>
              <c:strCache>
                <c:ptCount val="1"/>
                <c:pt idx="0">
                  <c:v>Filiale 5</c:v>
                </c:pt>
              </c:strCache>
            </c:strRef>
          </c:tx>
          <c:spPr>
            <a:solidFill>
              <a:schemeClr val="accent5"/>
            </a:solidFill>
            <a:ln>
              <a:noFill/>
            </a:ln>
            <a:effectLst/>
          </c:spPr>
          <c:invertIfNegative val="0"/>
          <c:cat>
            <c:strRef>
              <c:f>'Aufgabe 17_Lsg'!$B$5:$F$5</c:f>
              <c:strCache>
                <c:ptCount val="5"/>
                <c:pt idx="0">
                  <c:v>1. Quartal</c:v>
                </c:pt>
                <c:pt idx="1">
                  <c:v>2. Quartal</c:v>
                </c:pt>
                <c:pt idx="2">
                  <c:v>3. Quartal</c:v>
                </c:pt>
                <c:pt idx="3">
                  <c:v>4. Quartal</c:v>
                </c:pt>
                <c:pt idx="4">
                  <c:v>Summe</c:v>
                </c:pt>
              </c:strCache>
            </c:strRef>
          </c:cat>
          <c:val>
            <c:numRef>
              <c:f>'Aufgabe 17_Lsg'!$B$10:$F$10</c:f>
              <c:numCache>
                <c:formatCode>#,##0.00\ "€"</c:formatCode>
                <c:ptCount val="5"/>
                <c:pt idx="0">
                  <c:v>8894</c:v>
                </c:pt>
                <c:pt idx="1">
                  <c:v>12092</c:v>
                </c:pt>
                <c:pt idx="2">
                  <c:v>15003</c:v>
                </c:pt>
                <c:pt idx="3">
                  <c:v>13406</c:v>
                </c:pt>
                <c:pt idx="4">
                  <c:v>49395</c:v>
                </c:pt>
              </c:numCache>
            </c:numRef>
          </c:val>
          <c:extLst>
            <c:ext xmlns:c16="http://schemas.microsoft.com/office/drawing/2014/chart" uri="{C3380CC4-5D6E-409C-BE32-E72D297353CC}">
              <c16:uniqueId val="{00000004-651D-41DB-B4D4-056853F3B616}"/>
            </c:ext>
          </c:extLst>
        </c:ser>
        <c:dLbls>
          <c:showLegendKey val="0"/>
          <c:showVal val="0"/>
          <c:showCatName val="0"/>
          <c:showSerName val="0"/>
          <c:showPercent val="0"/>
          <c:showBubbleSize val="0"/>
        </c:dLbls>
        <c:gapWidth val="150"/>
        <c:overlap val="100"/>
        <c:axId val="97892608"/>
        <c:axId val="97898496"/>
      </c:barChart>
      <c:catAx>
        <c:axId val="9789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898496"/>
        <c:crosses val="autoZero"/>
        <c:auto val="1"/>
        <c:lblAlgn val="ctr"/>
        <c:lblOffset val="100"/>
        <c:noMultiLvlLbl val="0"/>
      </c:catAx>
      <c:valAx>
        <c:axId val="97898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892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Kostenvergleich Eigen- oder Fremdbezug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'Aufgabe 20_Lsg'!$B$11:$C$11</c:f>
              <c:strCache>
                <c:ptCount val="1"/>
                <c:pt idx="0">
                  <c:v>Kosten Fremdbezug</c:v>
                </c:pt>
              </c:strCache>
            </c:strRef>
          </c:tx>
          <c:spPr>
            <a:ln w="28575" cap="rnd">
              <a:solidFill>
                <a:schemeClr val="accent1"/>
              </a:solidFill>
              <a:round/>
            </a:ln>
            <a:effectLst/>
          </c:spPr>
          <c:marker>
            <c:symbol val="none"/>
          </c:marker>
          <c:cat>
            <c:numRef>
              <c:f>'Aufgabe 20_Lsg'!$A$13:$A$22</c:f>
              <c:numCache>
                <c:formatCode>#,##0</c:formatCode>
                <c:ptCount val="10"/>
                <c:pt idx="0">
                  <c:v>1000</c:v>
                </c:pt>
                <c:pt idx="1">
                  <c:v>2000</c:v>
                </c:pt>
                <c:pt idx="2">
                  <c:v>3000</c:v>
                </c:pt>
                <c:pt idx="3">
                  <c:v>4000</c:v>
                </c:pt>
                <c:pt idx="4">
                  <c:v>5000</c:v>
                </c:pt>
                <c:pt idx="5">
                  <c:v>6000</c:v>
                </c:pt>
                <c:pt idx="6">
                  <c:v>7000</c:v>
                </c:pt>
                <c:pt idx="7">
                  <c:v>8000</c:v>
                </c:pt>
                <c:pt idx="8">
                  <c:v>9000</c:v>
                </c:pt>
                <c:pt idx="9">
                  <c:v>10000</c:v>
                </c:pt>
              </c:numCache>
            </c:numRef>
          </c:cat>
          <c:val>
            <c:numRef>
              <c:f>'Aufgabe 20_Lsg'!$C$13:$C$22</c:f>
              <c:numCache>
                <c:formatCode>"€"#,##0.00_);\("€"#,##0.00\)</c:formatCode>
                <c:ptCount val="10"/>
                <c:pt idx="0">
                  <c:v>49500</c:v>
                </c:pt>
                <c:pt idx="1">
                  <c:v>99000</c:v>
                </c:pt>
                <c:pt idx="2">
                  <c:v>148500</c:v>
                </c:pt>
                <c:pt idx="3">
                  <c:v>198000</c:v>
                </c:pt>
                <c:pt idx="4">
                  <c:v>247500</c:v>
                </c:pt>
                <c:pt idx="5">
                  <c:v>297000</c:v>
                </c:pt>
                <c:pt idx="6">
                  <c:v>346500</c:v>
                </c:pt>
                <c:pt idx="7">
                  <c:v>396000</c:v>
                </c:pt>
                <c:pt idx="8">
                  <c:v>445500</c:v>
                </c:pt>
                <c:pt idx="9">
                  <c:v>495000</c:v>
                </c:pt>
              </c:numCache>
            </c:numRef>
          </c:val>
          <c:smooth val="0"/>
          <c:extLst>
            <c:ext xmlns:c16="http://schemas.microsoft.com/office/drawing/2014/chart" uri="{C3380CC4-5D6E-409C-BE32-E72D297353CC}">
              <c16:uniqueId val="{00000000-8905-4389-A4D7-628BAF2EAE97}"/>
            </c:ext>
          </c:extLst>
        </c:ser>
        <c:ser>
          <c:idx val="1"/>
          <c:order val="1"/>
          <c:tx>
            <c:strRef>
              <c:f>'Aufgabe 20_Lsg'!$D$11:$E$11</c:f>
              <c:strCache>
                <c:ptCount val="1"/>
                <c:pt idx="0">
                  <c:v>Kosten Eigenfertigung</c:v>
                </c:pt>
              </c:strCache>
            </c:strRef>
          </c:tx>
          <c:spPr>
            <a:ln w="28575" cap="rnd">
              <a:solidFill>
                <a:schemeClr val="accent2"/>
              </a:solidFill>
              <a:round/>
            </a:ln>
            <a:effectLst/>
          </c:spPr>
          <c:marker>
            <c:symbol val="none"/>
          </c:marker>
          <c:cat>
            <c:numRef>
              <c:f>'Aufgabe 20_Lsg'!$A$13:$A$22</c:f>
              <c:numCache>
                <c:formatCode>#,##0</c:formatCode>
                <c:ptCount val="10"/>
                <c:pt idx="0">
                  <c:v>1000</c:v>
                </c:pt>
                <c:pt idx="1">
                  <c:v>2000</c:v>
                </c:pt>
                <c:pt idx="2">
                  <c:v>3000</c:v>
                </c:pt>
                <c:pt idx="3">
                  <c:v>4000</c:v>
                </c:pt>
                <c:pt idx="4">
                  <c:v>5000</c:v>
                </c:pt>
                <c:pt idx="5">
                  <c:v>6000</c:v>
                </c:pt>
                <c:pt idx="6">
                  <c:v>7000</c:v>
                </c:pt>
                <c:pt idx="7">
                  <c:v>8000</c:v>
                </c:pt>
                <c:pt idx="8">
                  <c:v>9000</c:v>
                </c:pt>
                <c:pt idx="9">
                  <c:v>10000</c:v>
                </c:pt>
              </c:numCache>
            </c:numRef>
          </c:cat>
          <c:val>
            <c:numRef>
              <c:f>'Aufgabe 20_Lsg'!$E$13:$E$22</c:f>
              <c:numCache>
                <c:formatCode>"€"#,##0.00_);\("€"#,##0.00\)</c:formatCode>
                <c:ptCount val="10"/>
                <c:pt idx="0">
                  <c:v>108949.99999999999</c:v>
                </c:pt>
                <c:pt idx="1">
                  <c:v>145100</c:v>
                </c:pt>
                <c:pt idx="2">
                  <c:v>181250</c:v>
                </c:pt>
                <c:pt idx="3">
                  <c:v>217399.99999999997</c:v>
                </c:pt>
                <c:pt idx="4">
                  <c:v>253550</c:v>
                </c:pt>
                <c:pt idx="5">
                  <c:v>289700</c:v>
                </c:pt>
                <c:pt idx="6">
                  <c:v>325850</c:v>
                </c:pt>
                <c:pt idx="7">
                  <c:v>362000</c:v>
                </c:pt>
                <c:pt idx="8">
                  <c:v>398150</c:v>
                </c:pt>
                <c:pt idx="9">
                  <c:v>434300</c:v>
                </c:pt>
              </c:numCache>
            </c:numRef>
          </c:val>
          <c:smooth val="0"/>
          <c:extLst>
            <c:ext xmlns:c16="http://schemas.microsoft.com/office/drawing/2014/chart" uri="{C3380CC4-5D6E-409C-BE32-E72D297353CC}">
              <c16:uniqueId val="{00000001-8905-4389-A4D7-628BAF2EAE97}"/>
            </c:ext>
          </c:extLst>
        </c:ser>
        <c:dLbls>
          <c:showLegendKey val="0"/>
          <c:showVal val="0"/>
          <c:showCatName val="0"/>
          <c:showSerName val="0"/>
          <c:showPercent val="0"/>
          <c:showBubbleSize val="0"/>
        </c:dLbls>
        <c:smooth val="0"/>
        <c:axId val="103963264"/>
        <c:axId val="103965440"/>
      </c:lineChart>
      <c:catAx>
        <c:axId val="103963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3965440"/>
        <c:crosses val="autoZero"/>
        <c:auto val="1"/>
        <c:lblAlgn val="ctr"/>
        <c:lblOffset val="100"/>
        <c:noMultiLvlLbl val="0"/>
      </c:catAx>
      <c:valAx>
        <c:axId val="103965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Kosten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3963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Anteile am Nettoverkaufspreis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F8-4E76-A105-83C768AE66E9}"/>
              </c:ext>
            </c:extLst>
          </c:dPt>
          <c:dPt>
            <c:idx val="1"/>
            <c:bubble3D val="0"/>
            <c:explosion val="14"/>
            <c:spPr>
              <a:solidFill>
                <a:schemeClr val="accent2"/>
              </a:solidFill>
              <a:ln w="19050">
                <a:solidFill>
                  <a:schemeClr val="lt1"/>
                </a:solidFill>
              </a:ln>
              <a:effectLst/>
            </c:spPr>
            <c:extLst>
              <c:ext xmlns:c16="http://schemas.microsoft.com/office/drawing/2014/chart" uri="{C3380CC4-5D6E-409C-BE32-E72D297353CC}">
                <c16:uniqueId val="{00000003-89F8-4E76-A105-83C768AE66E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9F8-4E76-A105-83C768AE66E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9F8-4E76-A105-83C768AE66E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9F8-4E76-A105-83C768AE66E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('Aufgabe 21_Lsg'!$A$14,'Aufgabe 21_Lsg'!$A$15,'Aufgabe 21_Lsg'!$A$17,'Aufgabe 21_Lsg'!$A$18,'Aufgabe 21_Lsg'!$A$20)</c:f>
              <c:strCache>
                <c:ptCount val="5"/>
                <c:pt idx="0">
                  <c:v>Selbstkosten</c:v>
                </c:pt>
                <c:pt idx="1">
                  <c:v>+ Gewinn</c:v>
                </c:pt>
                <c:pt idx="2">
                  <c:v>+ Kundenskonto</c:v>
                </c:pt>
                <c:pt idx="3">
                  <c:v>+ Vertreterprovision</c:v>
                </c:pt>
                <c:pt idx="4">
                  <c:v>+ Kundenrabatt</c:v>
                </c:pt>
              </c:strCache>
            </c:strRef>
          </c:cat>
          <c:val>
            <c:numRef>
              <c:f>('Aufgabe 21_Lsg'!$D$14,'Aufgabe 21_Lsg'!$D$15,'Aufgabe 21_Lsg'!$D$17,'Aufgabe 21_Lsg'!$D$18,'Aufgabe 21_Lsg'!$D$20)</c:f>
              <c:numCache>
                <c:formatCode>#,##0.00\ "€"</c:formatCode>
                <c:ptCount val="5"/>
                <c:pt idx="0">
                  <c:v>303.68452000000002</c:v>
                </c:pt>
                <c:pt idx="1">
                  <c:v>60.73690400000001</c:v>
                </c:pt>
                <c:pt idx="2">
                  <c:v>11.508044968421054</c:v>
                </c:pt>
                <c:pt idx="3">
                  <c:v>7.6720299789473687</c:v>
                </c:pt>
                <c:pt idx="4" formatCode="&quot;€&quot;#,##0.00_);[Red]\(&quot;€&quot;#,##0.00\)">
                  <c:v>67.694382167182667</c:v>
                </c:pt>
              </c:numCache>
            </c:numRef>
          </c:val>
          <c:extLst>
            <c:ext xmlns:c16="http://schemas.microsoft.com/office/drawing/2014/chart" uri="{C3380CC4-5D6E-409C-BE32-E72D297353CC}">
              <c16:uniqueId val="{0000000A-89F8-4E76-A105-83C768AE66E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Gewinnverteilung KG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A4-445F-9EF6-78483380FD1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2CA4-445F-9EF6-78483380FD1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2CA4-445F-9EF6-78483380FD1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2CA4-445F-9EF6-78483380FD1C}"/>
              </c:ext>
            </c:extLst>
          </c:dPt>
          <c:dLbls>
            <c:dLbl>
              <c:idx val="0"/>
              <c:layout>
                <c:manualLayout>
                  <c:x val="-0.24874223534558179"/>
                  <c:y val="-3.2615558471857688E-2"/>
                </c:manualLayout>
              </c:layout>
              <c:tx>
                <c:rich>
                  <a:bodyPr/>
                  <a:lstStyle/>
                  <a:p>
                    <a:fld id="{F8ABF117-0EEC-4477-B548-425F6DEDBA3A}" type="CELLRANGE">
                      <a:rPr lang="en-US" baseline="0"/>
                      <a:pPr/>
                      <a:t>[ZELLBEREICH]</a:t>
                    </a:fld>
                    <a:r>
                      <a:rPr lang="en-US" baseline="0"/>
                      <a:t>; </a:t>
                    </a:r>
                    <a:fld id="{C0ADEF1C-2083-4EF2-A160-7C8495356AED}" type="VALUE">
                      <a:rPr lang="en-US" baseline="0"/>
                      <a:pPr/>
                      <a:t>[WERT]</a:t>
                    </a:fld>
                    <a:r>
                      <a:rPr lang="en-US" baseline="0"/>
                      <a:t>; </a:t>
                    </a:r>
                    <a:fld id="{0991D4A8-4648-4BC8-95BC-1C8E351B667D}" type="PERCENTAGE">
                      <a:rPr lang="en-US" baseline="0"/>
                      <a:pPr/>
                      <a:t>[PROZENTSATZ]</a:t>
                    </a:fld>
                    <a:endParaRPr 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CA4-445F-9EF6-78483380FD1C}"/>
                </c:ext>
              </c:extLst>
            </c:dLbl>
            <c:dLbl>
              <c:idx val="1"/>
              <c:tx>
                <c:rich>
                  <a:bodyPr/>
                  <a:lstStyle/>
                  <a:p>
                    <a:fld id="{EE18A8C6-4D92-4B6B-9F5B-184BBC43E5B4}" type="CELLRANGE">
                      <a:rPr lang="de-DE"/>
                      <a:pPr/>
                      <a:t>[ZELLBEREICH]</a:t>
                    </a:fld>
                    <a:r>
                      <a:rPr lang="de-DE" baseline="0"/>
                      <a:t>; </a:t>
                    </a:r>
                    <a:fld id="{A9508008-95E6-4EB9-BFD2-539D19E32D03}" type="VALUE">
                      <a:rPr lang="de-DE" baseline="0"/>
                      <a:pPr/>
                      <a:t>[WERT]</a:t>
                    </a:fld>
                    <a:r>
                      <a:rPr lang="de-DE" baseline="0"/>
                      <a:t>; </a:t>
                    </a:r>
                    <a:fld id="{A87D08B8-C3C0-4F39-8E20-AD1BD1473F60}" type="PERCENTAGE">
                      <a:rPr lang="de-DE" baseline="0"/>
                      <a:pPr/>
                      <a:t>[PROZENTSATZ]</a:t>
                    </a:fld>
                    <a:endParaRPr lang="de-DE" baseline="0"/>
                  </a:p>
                </c:rich>
              </c:tx>
              <c:showLegendKey val="0"/>
              <c:showVal val="1"/>
              <c:showCatName val="0"/>
              <c:showSerName val="0"/>
              <c:showPercent val="1"/>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CA4-445F-9EF6-78483380FD1C}"/>
                </c:ext>
              </c:extLst>
            </c:dLbl>
            <c:dLbl>
              <c:idx val="2"/>
              <c:tx>
                <c:rich>
                  <a:bodyPr/>
                  <a:lstStyle/>
                  <a:p>
                    <a:fld id="{D79FE4CD-112B-4AC9-AC1E-0DBEC18B3D2A}" type="CELLRANGE">
                      <a:rPr lang="de-DE"/>
                      <a:pPr/>
                      <a:t>[ZELLBEREICH]</a:t>
                    </a:fld>
                    <a:r>
                      <a:rPr lang="de-DE" baseline="0"/>
                      <a:t>; </a:t>
                    </a:r>
                    <a:fld id="{CF4D3C09-41EC-4C01-B668-7A13A23AB063}" type="VALUE">
                      <a:rPr lang="de-DE" baseline="0"/>
                      <a:pPr/>
                      <a:t>[WERT]</a:t>
                    </a:fld>
                    <a:r>
                      <a:rPr lang="de-DE" baseline="0"/>
                      <a:t>; </a:t>
                    </a:r>
                    <a:fld id="{D543C92B-D259-45E7-91EA-0889DFB9E93E}" type="PERCENTAGE">
                      <a:rPr lang="de-DE" baseline="0"/>
                      <a:pPr/>
                      <a:t>[PROZENTSATZ]</a:t>
                    </a:fld>
                    <a:endParaRPr lang="de-DE" baseline="0"/>
                  </a:p>
                </c:rich>
              </c:tx>
              <c:showLegendKey val="0"/>
              <c:showVal val="1"/>
              <c:showCatName val="0"/>
              <c:showSerName val="0"/>
              <c:showPercent val="1"/>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CA4-445F-9EF6-78483380FD1C}"/>
                </c:ext>
              </c:extLst>
            </c:dLbl>
            <c:dLbl>
              <c:idx val="3"/>
              <c:tx>
                <c:rich>
                  <a:bodyPr/>
                  <a:lstStyle/>
                  <a:p>
                    <a:fld id="{61CAA9D3-E1E0-47E6-B105-23BE50C4D015}" type="CELLRANGE">
                      <a:rPr lang="de-DE"/>
                      <a:pPr/>
                      <a:t>[ZELLBEREICH]</a:t>
                    </a:fld>
                    <a:r>
                      <a:rPr lang="de-DE" baseline="0"/>
                      <a:t>; </a:t>
                    </a:r>
                    <a:fld id="{0C59464B-F576-4893-97D3-AF0AB6386DAE}" type="VALUE">
                      <a:rPr lang="de-DE" baseline="0"/>
                      <a:pPr/>
                      <a:t>[WERT]</a:t>
                    </a:fld>
                    <a:r>
                      <a:rPr lang="de-DE" baseline="0"/>
                      <a:t>; </a:t>
                    </a:r>
                    <a:fld id="{E5221447-23CB-486A-B05E-53792F75EB40}" type="PERCENTAGE">
                      <a:rPr lang="de-DE" baseline="0"/>
                      <a:pPr/>
                      <a:t>[PROZENTSATZ]</a:t>
                    </a:fld>
                    <a:endParaRPr lang="de-DE" baseline="0"/>
                  </a:p>
                </c:rich>
              </c:tx>
              <c:showLegendKey val="0"/>
              <c:showVal val="1"/>
              <c:showCatName val="0"/>
              <c:showSerName val="0"/>
              <c:showPercent val="1"/>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CA4-445F-9EF6-78483380FD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val>
            <c:numRef>
              <c:f>'Aufgabe 24_Lsg'!$G$10:$G$13</c:f>
              <c:numCache>
                <c:formatCode>#,##0.00\ "€"</c:formatCode>
                <c:ptCount val="4"/>
                <c:pt idx="0">
                  <c:v>29316</c:v>
                </c:pt>
                <c:pt idx="1">
                  <c:v>21587</c:v>
                </c:pt>
                <c:pt idx="2">
                  <c:v>14658</c:v>
                </c:pt>
                <c:pt idx="3">
                  <c:v>7729</c:v>
                </c:pt>
              </c:numCache>
            </c:numRef>
          </c:val>
          <c:extLst>
            <c:ext xmlns:c15="http://schemas.microsoft.com/office/drawing/2012/chart" uri="{02D57815-91ED-43cb-92C2-25804820EDAC}">
              <c15:datalabelsRange>
                <c15:f>'Aufgabe 24_Lsg'!$A$10:$A$13</c15:f>
                <c15:dlblRangeCache>
                  <c:ptCount val="4"/>
                  <c:pt idx="0">
                    <c:v>Komplementär Waldemar Wild</c:v>
                  </c:pt>
                  <c:pt idx="1">
                    <c:v>Komplementärin Wilhelma Wild</c:v>
                  </c:pt>
                  <c:pt idx="2">
                    <c:v>Kommanditistin Wanda Wild</c:v>
                  </c:pt>
                  <c:pt idx="3">
                    <c:v>Kommanditist Dirk Iberger</c:v>
                  </c:pt>
                </c15:dlblRangeCache>
              </c15:datalabelsRange>
            </c:ext>
            <c:ext xmlns:c16="http://schemas.microsoft.com/office/drawing/2014/chart" uri="{C3380CC4-5D6E-409C-BE32-E72D297353CC}">
              <c16:uniqueId val="{00000000-2CA4-445F-9EF6-78483380FD1C}"/>
            </c:ext>
          </c:extLst>
        </c:ser>
        <c:dLbls>
          <c:showLegendKey val="0"/>
          <c:showVal val="0"/>
          <c:showCatName val="0"/>
          <c:showSerName val="0"/>
          <c:showPercent val="0"/>
          <c:showBubbleSize val="0"/>
          <c:showLeaderLines val="1"/>
        </c:dLbls>
        <c:firstSliceAng val="116"/>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Umsatzentwicklung</a:t>
            </a:r>
            <a:r>
              <a:rPr lang="de-DE" baseline="0"/>
              <a:t> der letzen 6 Jahre</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'Aufgabe 2_Lsg'!$A$6</c:f>
              <c:strCache>
                <c:ptCount val="1"/>
                <c:pt idx="0">
                  <c:v>Heinrich, Hans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'Aufgabe 2_Lsg'!$B$5:$G$5</c:f>
              <c:strCache>
                <c:ptCount val="6"/>
                <c:pt idx="0">
                  <c:v>1. Jahr</c:v>
                </c:pt>
                <c:pt idx="1">
                  <c:v>2. Jahr</c:v>
                </c:pt>
                <c:pt idx="2">
                  <c:v>3. Jahr</c:v>
                </c:pt>
                <c:pt idx="3">
                  <c:v>4. Jahr</c:v>
                </c:pt>
                <c:pt idx="4">
                  <c:v>5. Jahr</c:v>
                </c:pt>
                <c:pt idx="5">
                  <c:v>6. Jahr</c:v>
                </c:pt>
              </c:strCache>
            </c:strRef>
          </c:cat>
          <c:val>
            <c:numRef>
              <c:f>'Aufgabe 2_Lsg'!$B$6:$G$6</c:f>
              <c:numCache>
                <c:formatCode>#,##0.00\ "€"</c:formatCode>
                <c:ptCount val="6"/>
                <c:pt idx="0">
                  <c:v>2872831</c:v>
                </c:pt>
                <c:pt idx="1">
                  <c:v>2948294</c:v>
                </c:pt>
                <c:pt idx="2">
                  <c:v>3279155</c:v>
                </c:pt>
                <c:pt idx="3">
                  <c:v>3184625</c:v>
                </c:pt>
                <c:pt idx="4">
                  <c:v>3154602</c:v>
                </c:pt>
                <c:pt idx="5">
                  <c:v>3001845</c:v>
                </c:pt>
              </c:numCache>
            </c:numRef>
          </c:val>
          <c:smooth val="0"/>
          <c:extLst>
            <c:ext xmlns:c16="http://schemas.microsoft.com/office/drawing/2014/chart" uri="{C3380CC4-5D6E-409C-BE32-E72D297353CC}">
              <c16:uniqueId val="{00000000-B323-4027-B981-A76BCC9289D1}"/>
            </c:ext>
          </c:extLst>
        </c:ser>
        <c:ser>
          <c:idx val="1"/>
          <c:order val="1"/>
          <c:tx>
            <c:strRef>
              <c:f>'Aufgabe 2_Lsg'!$A$7</c:f>
              <c:strCache>
                <c:ptCount val="1"/>
                <c:pt idx="0">
                  <c:v>Pogzeba, Paul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'Aufgabe 2_Lsg'!$B$5:$G$5</c:f>
              <c:strCache>
                <c:ptCount val="6"/>
                <c:pt idx="0">
                  <c:v>1. Jahr</c:v>
                </c:pt>
                <c:pt idx="1">
                  <c:v>2. Jahr</c:v>
                </c:pt>
                <c:pt idx="2">
                  <c:v>3. Jahr</c:v>
                </c:pt>
                <c:pt idx="3">
                  <c:v>4. Jahr</c:v>
                </c:pt>
                <c:pt idx="4">
                  <c:v>5. Jahr</c:v>
                </c:pt>
                <c:pt idx="5">
                  <c:v>6. Jahr</c:v>
                </c:pt>
              </c:strCache>
            </c:strRef>
          </c:cat>
          <c:val>
            <c:numRef>
              <c:f>'Aufgabe 2_Lsg'!$B$7:$G$7</c:f>
              <c:numCache>
                <c:formatCode>#,##0.00\ "€"</c:formatCode>
                <c:ptCount val="6"/>
                <c:pt idx="0">
                  <c:v>3212475</c:v>
                </c:pt>
                <c:pt idx="1">
                  <c:v>3311514</c:v>
                </c:pt>
                <c:pt idx="2">
                  <c:v>3410653</c:v>
                </c:pt>
                <c:pt idx="3">
                  <c:v>3344547</c:v>
                </c:pt>
                <c:pt idx="4">
                  <c:v>3515781</c:v>
                </c:pt>
                <c:pt idx="5">
                  <c:v>3619860</c:v>
                </c:pt>
              </c:numCache>
            </c:numRef>
          </c:val>
          <c:smooth val="0"/>
          <c:extLst>
            <c:ext xmlns:c16="http://schemas.microsoft.com/office/drawing/2014/chart" uri="{C3380CC4-5D6E-409C-BE32-E72D297353CC}">
              <c16:uniqueId val="{00000001-B323-4027-B981-A76BCC9289D1}"/>
            </c:ext>
          </c:extLst>
        </c:ser>
        <c:ser>
          <c:idx val="2"/>
          <c:order val="2"/>
          <c:tx>
            <c:strRef>
              <c:f>'Aufgabe 2_Lsg'!$A$8</c:f>
              <c:strCache>
                <c:ptCount val="1"/>
                <c:pt idx="0">
                  <c:v>Wittemann, Willi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'Aufgabe 2_Lsg'!$B$5:$G$5</c:f>
              <c:strCache>
                <c:ptCount val="6"/>
                <c:pt idx="0">
                  <c:v>1. Jahr</c:v>
                </c:pt>
                <c:pt idx="1">
                  <c:v>2. Jahr</c:v>
                </c:pt>
                <c:pt idx="2">
                  <c:v>3. Jahr</c:v>
                </c:pt>
                <c:pt idx="3">
                  <c:v>4. Jahr</c:v>
                </c:pt>
                <c:pt idx="4">
                  <c:v>5. Jahr</c:v>
                </c:pt>
                <c:pt idx="5">
                  <c:v>6. Jahr</c:v>
                </c:pt>
              </c:strCache>
            </c:strRef>
          </c:cat>
          <c:val>
            <c:numRef>
              <c:f>'Aufgabe 2_Lsg'!$B$8:$G$8</c:f>
              <c:numCache>
                <c:formatCode>#,##0.00\ "€"</c:formatCode>
                <c:ptCount val="6"/>
                <c:pt idx="0">
                  <c:v>3160582</c:v>
                </c:pt>
                <c:pt idx="1">
                  <c:v>3309405</c:v>
                </c:pt>
                <c:pt idx="2">
                  <c:v>3318076</c:v>
                </c:pt>
                <c:pt idx="3">
                  <c:v>3547121</c:v>
                </c:pt>
                <c:pt idx="4">
                  <c:v>3477885</c:v>
                </c:pt>
                <c:pt idx="5">
                  <c:v>3804094</c:v>
                </c:pt>
              </c:numCache>
            </c:numRef>
          </c:val>
          <c:smooth val="0"/>
          <c:extLst>
            <c:ext xmlns:c16="http://schemas.microsoft.com/office/drawing/2014/chart" uri="{C3380CC4-5D6E-409C-BE32-E72D297353CC}">
              <c16:uniqueId val="{00000002-B323-4027-B981-A76BCC9289D1}"/>
            </c:ext>
          </c:extLst>
        </c:ser>
        <c:ser>
          <c:idx val="3"/>
          <c:order val="3"/>
          <c:tx>
            <c:strRef>
              <c:f>'Aufgabe 2_Lsg'!$A$9</c:f>
              <c:strCache>
                <c:ptCount val="1"/>
                <c:pt idx="0">
                  <c:v>Kunz, Katharina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'Aufgabe 2_Lsg'!$B$5:$G$5</c:f>
              <c:strCache>
                <c:ptCount val="6"/>
                <c:pt idx="0">
                  <c:v>1. Jahr</c:v>
                </c:pt>
                <c:pt idx="1">
                  <c:v>2. Jahr</c:v>
                </c:pt>
                <c:pt idx="2">
                  <c:v>3. Jahr</c:v>
                </c:pt>
                <c:pt idx="3">
                  <c:v>4. Jahr</c:v>
                </c:pt>
                <c:pt idx="4">
                  <c:v>5. Jahr</c:v>
                </c:pt>
                <c:pt idx="5">
                  <c:v>6. Jahr</c:v>
                </c:pt>
              </c:strCache>
            </c:strRef>
          </c:cat>
          <c:val>
            <c:numRef>
              <c:f>'Aufgabe 2_Lsg'!$B$9:$G$9</c:f>
              <c:numCache>
                <c:formatCode>#,##0.00\ "€"</c:formatCode>
                <c:ptCount val="6"/>
                <c:pt idx="0">
                  <c:v>2743925</c:v>
                </c:pt>
                <c:pt idx="1">
                  <c:v>2864248</c:v>
                </c:pt>
                <c:pt idx="2">
                  <c:v>3258506</c:v>
                </c:pt>
                <c:pt idx="3">
                  <c:v>3560590</c:v>
                </c:pt>
                <c:pt idx="4">
                  <c:v>3710748</c:v>
                </c:pt>
                <c:pt idx="5">
                  <c:v>4320081</c:v>
                </c:pt>
              </c:numCache>
            </c:numRef>
          </c:val>
          <c:smooth val="0"/>
          <c:extLst>
            <c:ext xmlns:c16="http://schemas.microsoft.com/office/drawing/2014/chart" uri="{C3380CC4-5D6E-409C-BE32-E72D297353CC}">
              <c16:uniqueId val="{00000003-B323-4027-B981-A76BCC9289D1}"/>
            </c:ext>
          </c:extLst>
        </c:ser>
        <c:ser>
          <c:idx val="4"/>
          <c:order val="4"/>
          <c:tx>
            <c:strRef>
              <c:f>'Aufgabe 2_Lsg'!$A$10</c:f>
              <c:strCache>
                <c:ptCount val="1"/>
                <c:pt idx="0">
                  <c:v>Zacher, Zoe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'Aufgabe 2_Lsg'!$B$5:$G$5</c:f>
              <c:strCache>
                <c:ptCount val="6"/>
                <c:pt idx="0">
                  <c:v>1. Jahr</c:v>
                </c:pt>
                <c:pt idx="1">
                  <c:v>2. Jahr</c:v>
                </c:pt>
                <c:pt idx="2">
                  <c:v>3. Jahr</c:v>
                </c:pt>
                <c:pt idx="3">
                  <c:v>4. Jahr</c:v>
                </c:pt>
                <c:pt idx="4">
                  <c:v>5. Jahr</c:v>
                </c:pt>
                <c:pt idx="5">
                  <c:v>6. Jahr</c:v>
                </c:pt>
              </c:strCache>
            </c:strRef>
          </c:cat>
          <c:val>
            <c:numRef>
              <c:f>'Aufgabe 2_Lsg'!$B$10:$G$10</c:f>
              <c:numCache>
                <c:formatCode>#,##0.00\ "€"</c:formatCode>
                <c:ptCount val="6"/>
                <c:pt idx="0">
                  <c:v>3068604</c:v>
                </c:pt>
                <c:pt idx="1">
                  <c:v>3033772</c:v>
                </c:pt>
                <c:pt idx="2">
                  <c:v>2984282</c:v>
                </c:pt>
                <c:pt idx="3">
                  <c:v>2872343</c:v>
                </c:pt>
                <c:pt idx="4">
                  <c:v>2787211</c:v>
                </c:pt>
                <c:pt idx="5">
                  <c:v>2556196</c:v>
                </c:pt>
              </c:numCache>
            </c:numRef>
          </c:val>
          <c:smooth val="0"/>
          <c:extLst>
            <c:ext xmlns:c16="http://schemas.microsoft.com/office/drawing/2014/chart" uri="{C3380CC4-5D6E-409C-BE32-E72D297353CC}">
              <c16:uniqueId val="{00000004-B323-4027-B981-A76BCC9289D1}"/>
            </c:ext>
          </c:extLst>
        </c:ser>
        <c:dLbls>
          <c:showLegendKey val="0"/>
          <c:showVal val="0"/>
          <c:showCatName val="0"/>
          <c:showSerName val="0"/>
          <c:showPercent val="0"/>
          <c:showBubbleSize val="0"/>
        </c:dLbls>
        <c:marker val="1"/>
        <c:smooth val="0"/>
        <c:axId val="80309632"/>
        <c:axId val="80315904"/>
      </c:lineChart>
      <c:catAx>
        <c:axId val="8030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315904"/>
        <c:crosses val="autoZero"/>
        <c:auto val="1"/>
        <c:lblAlgn val="ctr"/>
        <c:lblOffset val="100"/>
        <c:noMultiLvlLbl val="0"/>
      </c:catAx>
      <c:valAx>
        <c:axId val="80315904"/>
        <c:scaling>
          <c:orientation val="minMax"/>
          <c:min val="25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 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_€"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30963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Umsatzprovision</a:t>
            </a:r>
            <a:r>
              <a:rPr lang="de-DE" baseline="0"/>
              <a:t> je Außendienstmitarbeiter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6"/>
            </a:solidFill>
            <a:ln>
              <a:noFill/>
            </a:ln>
            <a:effectLst/>
          </c:spPr>
          <c:invertIfNegative val="0"/>
          <c:cat>
            <c:strRef>
              <c:f>'Aufgabe 25_Lsg'!$A$6:$A$17</c:f>
              <c:strCache>
                <c:ptCount val="12"/>
                <c:pt idx="0">
                  <c:v>Gans, Gustav</c:v>
                </c:pt>
                <c:pt idx="1">
                  <c:v>Sacher, Siegbert</c:v>
                </c:pt>
                <c:pt idx="2">
                  <c:v>Justus, Jonas</c:v>
                </c:pt>
                <c:pt idx="3">
                  <c:v>Nagel, Nils</c:v>
                </c:pt>
                <c:pt idx="4">
                  <c:v>Liebknecht, Lars</c:v>
                </c:pt>
                <c:pt idx="5">
                  <c:v>Engel, Elisabeth</c:v>
                </c:pt>
                <c:pt idx="6">
                  <c:v>Rossmann, Richard</c:v>
                </c:pt>
                <c:pt idx="7">
                  <c:v>Knebel, Karin</c:v>
                </c:pt>
                <c:pt idx="8">
                  <c:v>Martin, Mariko</c:v>
                </c:pt>
                <c:pt idx="9">
                  <c:v>Ibeling, Iris</c:v>
                </c:pt>
                <c:pt idx="10">
                  <c:v>Fiegler, Frank</c:v>
                </c:pt>
                <c:pt idx="11">
                  <c:v>Dachs, Dörthe</c:v>
                </c:pt>
              </c:strCache>
            </c:strRef>
          </c:cat>
          <c:val>
            <c:numRef>
              <c:f>'Aufgabe 25_Lsg'!$D$6:$D$17</c:f>
              <c:numCache>
                <c:formatCode>#,##0.00\ "€"</c:formatCode>
                <c:ptCount val="12"/>
                <c:pt idx="0">
                  <c:v>0</c:v>
                </c:pt>
                <c:pt idx="1">
                  <c:v>0</c:v>
                </c:pt>
                <c:pt idx="2">
                  <c:v>1294.52</c:v>
                </c:pt>
                <c:pt idx="3">
                  <c:v>4810.08</c:v>
                </c:pt>
                <c:pt idx="4">
                  <c:v>5519.14</c:v>
                </c:pt>
                <c:pt idx="5">
                  <c:v>6040.96</c:v>
                </c:pt>
                <c:pt idx="6">
                  <c:v>7211.42</c:v>
                </c:pt>
                <c:pt idx="7">
                  <c:v>16843.920000000002</c:v>
                </c:pt>
                <c:pt idx="8">
                  <c:v>39046.35</c:v>
                </c:pt>
                <c:pt idx="9">
                  <c:v>63355.250000000007</c:v>
                </c:pt>
                <c:pt idx="10">
                  <c:v>65061.640000000007</c:v>
                </c:pt>
                <c:pt idx="11">
                  <c:v>92419.76</c:v>
                </c:pt>
              </c:numCache>
            </c:numRef>
          </c:val>
          <c:extLst>
            <c:ext xmlns:c16="http://schemas.microsoft.com/office/drawing/2014/chart" uri="{C3380CC4-5D6E-409C-BE32-E72D297353CC}">
              <c16:uniqueId val="{00000000-DD31-4918-A95D-9C4983D54F77}"/>
            </c:ext>
          </c:extLst>
        </c:ser>
        <c:dLbls>
          <c:showLegendKey val="0"/>
          <c:showVal val="0"/>
          <c:showCatName val="0"/>
          <c:showSerName val="0"/>
          <c:showPercent val="0"/>
          <c:showBubbleSize val="0"/>
        </c:dLbls>
        <c:gapWidth val="80"/>
        <c:axId val="105375616"/>
        <c:axId val="105377152"/>
      </c:barChart>
      <c:catAx>
        <c:axId val="105375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5377152"/>
        <c:crosses val="autoZero"/>
        <c:auto val="1"/>
        <c:lblAlgn val="ctr"/>
        <c:lblOffset val="100"/>
        <c:noMultiLvlLbl val="0"/>
      </c:catAx>
      <c:valAx>
        <c:axId val="105377152"/>
        <c:scaling>
          <c:orientation val="minMax"/>
        </c:scaling>
        <c:delete val="0"/>
        <c:axPos val="b"/>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5375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Gewinnschwelle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1"/>
          <c:order val="0"/>
          <c:tx>
            <c:strRef>
              <c:f>'Aufgabe 26_Lsg'!$E$10</c:f>
              <c:strCache>
                <c:ptCount val="1"/>
                <c:pt idx="0">
                  <c:v>Erlöse</c:v>
                </c:pt>
              </c:strCache>
            </c:strRef>
          </c:tx>
          <c:spPr>
            <a:ln w="28575" cap="rnd">
              <a:solidFill>
                <a:schemeClr val="accent2"/>
              </a:solidFill>
              <a:round/>
            </a:ln>
            <a:effectLst/>
          </c:spPr>
          <c:marker>
            <c:symbol val="none"/>
          </c:marker>
          <c:cat>
            <c:numRef>
              <c:f>'Aufgabe 26_Lsg'!$A$12:$A$22</c:f>
              <c:numCache>
                <c:formatCode>General</c:formatCode>
                <c:ptCount val="11"/>
                <c:pt idx="0" formatCode="0">
                  <c:v>0</c:v>
                </c:pt>
                <c:pt idx="1">
                  <c:v>100</c:v>
                </c:pt>
                <c:pt idx="2" formatCode="0">
                  <c:v>200</c:v>
                </c:pt>
                <c:pt idx="3">
                  <c:v>300</c:v>
                </c:pt>
                <c:pt idx="4" formatCode="0">
                  <c:v>400</c:v>
                </c:pt>
                <c:pt idx="5">
                  <c:v>500</c:v>
                </c:pt>
                <c:pt idx="6" formatCode="0">
                  <c:v>600</c:v>
                </c:pt>
                <c:pt idx="7">
                  <c:v>700</c:v>
                </c:pt>
                <c:pt idx="8" formatCode="0">
                  <c:v>800</c:v>
                </c:pt>
                <c:pt idx="9">
                  <c:v>900</c:v>
                </c:pt>
                <c:pt idx="10" formatCode="0">
                  <c:v>1000</c:v>
                </c:pt>
              </c:numCache>
            </c:numRef>
          </c:cat>
          <c:val>
            <c:numRef>
              <c:f>'Aufgabe 26_Lsg'!$E$12:$E$22</c:f>
              <c:numCache>
                <c:formatCode>#,##0.00\ "€"</c:formatCode>
                <c:ptCount val="11"/>
                <c:pt idx="0">
                  <c:v>0</c:v>
                </c:pt>
                <c:pt idx="1">
                  <c:v>6225</c:v>
                </c:pt>
                <c:pt idx="2">
                  <c:v>12450</c:v>
                </c:pt>
                <c:pt idx="3">
                  <c:v>18675</c:v>
                </c:pt>
                <c:pt idx="4">
                  <c:v>24900</c:v>
                </c:pt>
                <c:pt idx="5">
                  <c:v>31125</c:v>
                </c:pt>
                <c:pt idx="6">
                  <c:v>37350</c:v>
                </c:pt>
                <c:pt idx="7">
                  <c:v>43575</c:v>
                </c:pt>
                <c:pt idx="8">
                  <c:v>49800</c:v>
                </c:pt>
                <c:pt idx="9">
                  <c:v>56025</c:v>
                </c:pt>
                <c:pt idx="10">
                  <c:v>62250</c:v>
                </c:pt>
              </c:numCache>
            </c:numRef>
          </c:val>
          <c:smooth val="0"/>
          <c:extLst>
            <c:ext xmlns:c16="http://schemas.microsoft.com/office/drawing/2014/chart" uri="{C3380CC4-5D6E-409C-BE32-E72D297353CC}">
              <c16:uniqueId val="{00000000-78C6-4613-B59F-7EBB2BE8ECA9}"/>
            </c:ext>
          </c:extLst>
        </c:ser>
        <c:ser>
          <c:idx val="0"/>
          <c:order val="1"/>
          <c:tx>
            <c:strRef>
              <c:f>'Aufgabe 26_Lsg'!$D$10</c:f>
              <c:strCache>
                <c:ptCount val="1"/>
                <c:pt idx="0">
                  <c:v>Ges. Kosten</c:v>
                </c:pt>
              </c:strCache>
            </c:strRef>
          </c:tx>
          <c:spPr>
            <a:ln w="28575" cap="rnd">
              <a:solidFill>
                <a:schemeClr val="accent1"/>
              </a:solidFill>
              <a:round/>
            </a:ln>
            <a:effectLst/>
          </c:spPr>
          <c:marker>
            <c:symbol val="none"/>
          </c:marker>
          <c:cat>
            <c:numRef>
              <c:f>'Aufgabe 26_Lsg'!$A$12:$A$22</c:f>
              <c:numCache>
                <c:formatCode>General</c:formatCode>
                <c:ptCount val="11"/>
                <c:pt idx="0" formatCode="0">
                  <c:v>0</c:v>
                </c:pt>
                <c:pt idx="1">
                  <c:v>100</c:v>
                </c:pt>
                <c:pt idx="2" formatCode="0">
                  <c:v>200</c:v>
                </c:pt>
                <c:pt idx="3">
                  <c:v>300</c:v>
                </c:pt>
                <c:pt idx="4" formatCode="0">
                  <c:v>400</c:v>
                </c:pt>
                <c:pt idx="5">
                  <c:v>500</c:v>
                </c:pt>
                <c:pt idx="6" formatCode="0">
                  <c:v>600</c:v>
                </c:pt>
                <c:pt idx="7">
                  <c:v>700</c:v>
                </c:pt>
                <c:pt idx="8" formatCode="0">
                  <c:v>800</c:v>
                </c:pt>
                <c:pt idx="9">
                  <c:v>900</c:v>
                </c:pt>
                <c:pt idx="10" formatCode="0">
                  <c:v>1000</c:v>
                </c:pt>
              </c:numCache>
            </c:numRef>
          </c:cat>
          <c:val>
            <c:numRef>
              <c:f>'Aufgabe 26_Lsg'!$D$12:$D$22</c:f>
              <c:numCache>
                <c:formatCode>#,##0.00\ "€"</c:formatCode>
                <c:ptCount val="11"/>
                <c:pt idx="0">
                  <c:v>24958</c:v>
                </c:pt>
                <c:pt idx="1">
                  <c:v>27533</c:v>
                </c:pt>
                <c:pt idx="2">
                  <c:v>30108</c:v>
                </c:pt>
                <c:pt idx="3">
                  <c:v>32683</c:v>
                </c:pt>
                <c:pt idx="4">
                  <c:v>35258</c:v>
                </c:pt>
                <c:pt idx="5">
                  <c:v>37833</c:v>
                </c:pt>
                <c:pt idx="6">
                  <c:v>40408</c:v>
                </c:pt>
                <c:pt idx="7">
                  <c:v>42983</c:v>
                </c:pt>
                <c:pt idx="8">
                  <c:v>45558</c:v>
                </c:pt>
                <c:pt idx="9">
                  <c:v>48133</c:v>
                </c:pt>
                <c:pt idx="10">
                  <c:v>50708</c:v>
                </c:pt>
              </c:numCache>
            </c:numRef>
          </c:val>
          <c:smooth val="0"/>
          <c:extLst>
            <c:ext xmlns:c16="http://schemas.microsoft.com/office/drawing/2014/chart" uri="{C3380CC4-5D6E-409C-BE32-E72D297353CC}">
              <c16:uniqueId val="{00000001-78C6-4613-B59F-7EBB2BE8ECA9}"/>
            </c:ext>
          </c:extLst>
        </c:ser>
        <c:dLbls>
          <c:showLegendKey val="0"/>
          <c:showVal val="0"/>
          <c:showCatName val="0"/>
          <c:showSerName val="0"/>
          <c:showPercent val="0"/>
          <c:showBubbleSize val="0"/>
        </c:dLbls>
        <c:smooth val="0"/>
        <c:axId val="105495168"/>
        <c:axId val="105505536"/>
      </c:lineChart>
      <c:catAx>
        <c:axId val="105495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5505536"/>
        <c:crosses val="autoZero"/>
        <c:auto val="1"/>
        <c:lblAlgn val="ctr"/>
        <c:lblOffset val="100"/>
        <c:noMultiLvlLbl val="0"/>
      </c:catAx>
      <c:valAx>
        <c:axId val="105505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 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54951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Anteil</a:t>
            </a:r>
            <a:r>
              <a:rPr lang="de-DE" baseline="0"/>
              <a:t> am Gesamtumsatz</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4BC-48BB-A073-00B0D385A2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4BC-48BB-A073-00B0D385A2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4BC-48BB-A073-00B0D385A2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4BC-48BB-A073-00B0D385A2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4BC-48BB-A073-00B0D385A2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'Aufgabe 2_Lsg'!$A$6:$A$10</c:f>
              <c:strCache>
                <c:ptCount val="5"/>
                <c:pt idx="0">
                  <c:v>Heinrich, Hans</c:v>
                </c:pt>
                <c:pt idx="1">
                  <c:v>Pogzeba, Paul</c:v>
                </c:pt>
                <c:pt idx="2">
                  <c:v>Wittemann, Willi</c:v>
                </c:pt>
                <c:pt idx="3">
                  <c:v>Kunz, Katharina</c:v>
                </c:pt>
                <c:pt idx="4">
                  <c:v>Zacher, Zoe</c:v>
                </c:pt>
              </c:strCache>
            </c:strRef>
          </c:cat>
          <c:val>
            <c:numRef>
              <c:f>'Aufgabe 2_Lsg'!$H$6:$H$10</c:f>
              <c:numCache>
                <c:formatCode>#,##0.00\ "€"</c:formatCode>
                <c:ptCount val="5"/>
                <c:pt idx="0">
                  <c:v>18441352</c:v>
                </c:pt>
                <c:pt idx="1">
                  <c:v>20414830</c:v>
                </c:pt>
                <c:pt idx="2">
                  <c:v>20617163</c:v>
                </c:pt>
                <c:pt idx="3">
                  <c:v>20458098</c:v>
                </c:pt>
                <c:pt idx="4">
                  <c:v>17302408</c:v>
                </c:pt>
              </c:numCache>
            </c:numRef>
          </c:val>
          <c:extLst>
            <c:ext xmlns:c16="http://schemas.microsoft.com/office/drawing/2014/chart" uri="{C3380CC4-5D6E-409C-BE32-E72D297353CC}">
              <c16:uniqueId val="{00000000-1BF8-48E1-BDD3-28BAB5577D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Monatslohn mit Überstundenzuschlägen je Mitarbeiter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'Aufgabe 3_Lsg'!$D$5</c:f>
              <c:strCache>
                <c:ptCount val="1"/>
                <c:pt idx="0">
                  <c:v>Monatsgrundlohn    (in € / Monat)</c:v>
                </c:pt>
              </c:strCache>
            </c:strRef>
          </c:tx>
          <c:spPr>
            <a:solidFill>
              <a:schemeClr val="accent1"/>
            </a:solidFill>
            <a:ln>
              <a:noFill/>
            </a:ln>
            <a:effectLst/>
          </c:spPr>
          <c:invertIfNegative val="0"/>
          <c:cat>
            <c:strRef>
              <c:f>'Aufgabe 3_Lsg'!$A$6:$A$25</c:f>
              <c:strCache>
                <c:ptCount val="20"/>
                <c:pt idx="0">
                  <c:v>Ackerman, Anton</c:v>
                </c:pt>
                <c:pt idx="1">
                  <c:v>Bär, Bärbel</c:v>
                </c:pt>
                <c:pt idx="2">
                  <c:v>Clemens, Carmen</c:v>
                </c:pt>
                <c:pt idx="3">
                  <c:v>Dachs, Dörthe</c:v>
                </c:pt>
                <c:pt idx="4">
                  <c:v>Engel, Elisabeth</c:v>
                </c:pt>
                <c:pt idx="5">
                  <c:v>Fiegler, Frank</c:v>
                </c:pt>
                <c:pt idx="6">
                  <c:v>Gans, Gustav</c:v>
                </c:pt>
                <c:pt idx="7">
                  <c:v>Hummel, Heinrich</c:v>
                </c:pt>
                <c:pt idx="8">
                  <c:v>Ibeling, Iris</c:v>
                </c:pt>
                <c:pt idx="9">
                  <c:v>Justus, Jonas</c:v>
                </c:pt>
                <c:pt idx="10">
                  <c:v>Knebel, Karin</c:v>
                </c:pt>
                <c:pt idx="11">
                  <c:v>Liebknecht, Lars</c:v>
                </c:pt>
                <c:pt idx="12">
                  <c:v>Martin, Mariko</c:v>
                </c:pt>
                <c:pt idx="13">
                  <c:v>Nagel, Nils</c:v>
                </c:pt>
                <c:pt idx="14">
                  <c:v>Opfermann, Olga</c:v>
                </c:pt>
                <c:pt idx="15">
                  <c:v>Pogba, Paul</c:v>
                </c:pt>
                <c:pt idx="16">
                  <c:v>Quandt, Quentin</c:v>
                </c:pt>
                <c:pt idx="17">
                  <c:v>Rossmann, Richard</c:v>
                </c:pt>
                <c:pt idx="18">
                  <c:v>Sacher, Siegbert</c:v>
                </c:pt>
                <c:pt idx="19">
                  <c:v>Trump, Tabea</c:v>
                </c:pt>
              </c:strCache>
            </c:strRef>
          </c:cat>
          <c:val>
            <c:numRef>
              <c:f>'Aufgabe 3_Lsg'!$D$6:$D$25</c:f>
              <c:numCache>
                <c:formatCode>#,##0.00</c:formatCode>
                <c:ptCount val="20"/>
                <c:pt idx="0">
                  <c:v>2160</c:v>
                </c:pt>
                <c:pt idx="1">
                  <c:v>1616</c:v>
                </c:pt>
                <c:pt idx="2">
                  <c:v>2192</c:v>
                </c:pt>
                <c:pt idx="3">
                  <c:v>2048</c:v>
                </c:pt>
                <c:pt idx="4">
                  <c:v>1920</c:v>
                </c:pt>
                <c:pt idx="5">
                  <c:v>1888</c:v>
                </c:pt>
                <c:pt idx="6">
                  <c:v>1920</c:v>
                </c:pt>
                <c:pt idx="7">
                  <c:v>1616</c:v>
                </c:pt>
                <c:pt idx="8">
                  <c:v>2047.9999999999998</c:v>
                </c:pt>
                <c:pt idx="9">
                  <c:v>2336</c:v>
                </c:pt>
                <c:pt idx="10">
                  <c:v>2368</c:v>
                </c:pt>
                <c:pt idx="11">
                  <c:v>2496</c:v>
                </c:pt>
                <c:pt idx="12">
                  <c:v>1952</c:v>
                </c:pt>
                <c:pt idx="13">
                  <c:v>2336</c:v>
                </c:pt>
                <c:pt idx="14">
                  <c:v>2368</c:v>
                </c:pt>
                <c:pt idx="15">
                  <c:v>2496</c:v>
                </c:pt>
                <c:pt idx="16">
                  <c:v>2368</c:v>
                </c:pt>
                <c:pt idx="17">
                  <c:v>2080</c:v>
                </c:pt>
                <c:pt idx="18">
                  <c:v>2224</c:v>
                </c:pt>
                <c:pt idx="19">
                  <c:v>1616</c:v>
                </c:pt>
              </c:numCache>
            </c:numRef>
          </c:val>
          <c:extLst>
            <c:ext xmlns:c16="http://schemas.microsoft.com/office/drawing/2014/chart" uri="{C3380CC4-5D6E-409C-BE32-E72D297353CC}">
              <c16:uniqueId val="{00000000-C618-48CE-A91F-136A6C43BC58}"/>
            </c:ext>
          </c:extLst>
        </c:ser>
        <c:ser>
          <c:idx val="1"/>
          <c:order val="1"/>
          <c:tx>
            <c:strRef>
              <c:f>'Aufgabe 3_Lsg'!$G$5</c:f>
              <c:strCache>
                <c:ptCount val="1"/>
                <c:pt idx="0">
                  <c:v>Überstundenlohn (in € / Monat)</c:v>
                </c:pt>
              </c:strCache>
            </c:strRef>
          </c:tx>
          <c:spPr>
            <a:solidFill>
              <a:schemeClr val="accent2"/>
            </a:solidFill>
            <a:ln>
              <a:noFill/>
            </a:ln>
            <a:effectLst/>
          </c:spPr>
          <c:invertIfNegative val="0"/>
          <c:cat>
            <c:strRef>
              <c:f>'Aufgabe 3_Lsg'!$A$6:$A$25</c:f>
              <c:strCache>
                <c:ptCount val="20"/>
                <c:pt idx="0">
                  <c:v>Ackerman, Anton</c:v>
                </c:pt>
                <c:pt idx="1">
                  <c:v>Bär, Bärbel</c:v>
                </c:pt>
                <c:pt idx="2">
                  <c:v>Clemens, Carmen</c:v>
                </c:pt>
                <c:pt idx="3">
                  <c:v>Dachs, Dörthe</c:v>
                </c:pt>
                <c:pt idx="4">
                  <c:v>Engel, Elisabeth</c:v>
                </c:pt>
                <c:pt idx="5">
                  <c:v>Fiegler, Frank</c:v>
                </c:pt>
                <c:pt idx="6">
                  <c:v>Gans, Gustav</c:v>
                </c:pt>
                <c:pt idx="7">
                  <c:v>Hummel, Heinrich</c:v>
                </c:pt>
                <c:pt idx="8">
                  <c:v>Ibeling, Iris</c:v>
                </c:pt>
                <c:pt idx="9">
                  <c:v>Justus, Jonas</c:v>
                </c:pt>
                <c:pt idx="10">
                  <c:v>Knebel, Karin</c:v>
                </c:pt>
                <c:pt idx="11">
                  <c:v>Liebknecht, Lars</c:v>
                </c:pt>
                <c:pt idx="12">
                  <c:v>Martin, Mariko</c:v>
                </c:pt>
                <c:pt idx="13">
                  <c:v>Nagel, Nils</c:v>
                </c:pt>
                <c:pt idx="14">
                  <c:v>Opfermann, Olga</c:v>
                </c:pt>
                <c:pt idx="15">
                  <c:v>Pogba, Paul</c:v>
                </c:pt>
                <c:pt idx="16">
                  <c:v>Quandt, Quentin</c:v>
                </c:pt>
                <c:pt idx="17">
                  <c:v>Rossmann, Richard</c:v>
                </c:pt>
                <c:pt idx="18">
                  <c:v>Sacher, Siegbert</c:v>
                </c:pt>
                <c:pt idx="19">
                  <c:v>Trump, Tabea</c:v>
                </c:pt>
              </c:strCache>
            </c:strRef>
          </c:cat>
          <c:val>
            <c:numRef>
              <c:f>'Aufgabe 3_Lsg'!$G$6:$G$25</c:f>
              <c:numCache>
                <c:formatCode>#,##0.00</c:formatCode>
                <c:ptCount val="20"/>
                <c:pt idx="0">
                  <c:v>286.875</c:v>
                </c:pt>
                <c:pt idx="1">
                  <c:v>151.5</c:v>
                </c:pt>
                <c:pt idx="2">
                  <c:v>171.25</c:v>
                </c:pt>
                <c:pt idx="3">
                  <c:v>176</c:v>
                </c:pt>
                <c:pt idx="4">
                  <c:v>195</c:v>
                </c:pt>
                <c:pt idx="5">
                  <c:v>206.5</c:v>
                </c:pt>
                <c:pt idx="6">
                  <c:v>75</c:v>
                </c:pt>
                <c:pt idx="7">
                  <c:v>126.25</c:v>
                </c:pt>
                <c:pt idx="8">
                  <c:v>63.999999999999993</c:v>
                </c:pt>
                <c:pt idx="9">
                  <c:v>54.75</c:v>
                </c:pt>
                <c:pt idx="10">
                  <c:v>111</c:v>
                </c:pt>
                <c:pt idx="11">
                  <c:v>97.5</c:v>
                </c:pt>
                <c:pt idx="12">
                  <c:v>228.75</c:v>
                </c:pt>
                <c:pt idx="13">
                  <c:v>164.25</c:v>
                </c:pt>
                <c:pt idx="14">
                  <c:v>166.5</c:v>
                </c:pt>
                <c:pt idx="15">
                  <c:v>97.5</c:v>
                </c:pt>
                <c:pt idx="16">
                  <c:v>203.5</c:v>
                </c:pt>
                <c:pt idx="17">
                  <c:v>195</c:v>
                </c:pt>
                <c:pt idx="18">
                  <c:v>156.375</c:v>
                </c:pt>
                <c:pt idx="19">
                  <c:v>353.5</c:v>
                </c:pt>
              </c:numCache>
            </c:numRef>
          </c:val>
          <c:extLst>
            <c:ext xmlns:c16="http://schemas.microsoft.com/office/drawing/2014/chart" uri="{C3380CC4-5D6E-409C-BE32-E72D297353CC}">
              <c16:uniqueId val="{00000001-C618-48CE-A91F-136A6C43BC58}"/>
            </c:ext>
          </c:extLst>
        </c:ser>
        <c:dLbls>
          <c:showLegendKey val="0"/>
          <c:showVal val="0"/>
          <c:showCatName val="0"/>
          <c:showSerName val="0"/>
          <c:showPercent val="0"/>
          <c:showBubbleSize val="0"/>
        </c:dLbls>
        <c:gapWidth val="68"/>
        <c:overlap val="100"/>
        <c:axId val="77783808"/>
        <c:axId val="77785344"/>
      </c:barChart>
      <c:catAx>
        <c:axId val="7778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785344"/>
        <c:crosses val="autoZero"/>
        <c:auto val="1"/>
        <c:lblAlgn val="ctr"/>
        <c:lblOffset val="100"/>
        <c:noMultiLvlLbl val="0"/>
      </c:catAx>
      <c:valAx>
        <c:axId val="77785344"/>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783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de-DE" sz="1800"/>
              <a:t>Gewichtete Punkteverteilung - Nutzwertanalyse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'Aufgabe 5_Lsg'!$C$22:$D$22</c:f>
              <c:strCache>
                <c:ptCount val="1"/>
                <c:pt idx="0">
                  <c:v>Adams Technik GmbH</c:v>
                </c:pt>
              </c:strCache>
            </c:strRef>
          </c:tx>
          <c:spPr>
            <a:solidFill>
              <a:schemeClr val="accent1"/>
            </a:solidFill>
            <a:ln>
              <a:noFill/>
            </a:ln>
            <a:effectLst/>
          </c:spPr>
          <c:invertIfNegative val="0"/>
          <c:cat>
            <c:strRef>
              <c:f>'Aufgabe 5_Lsg'!$A$24:$A$29</c:f>
              <c:strCache>
                <c:ptCount val="6"/>
                <c:pt idx="0">
                  <c:v>Preis</c:v>
                </c:pt>
                <c:pt idx="1">
                  <c:v>Produktqualität</c:v>
                </c:pt>
                <c:pt idx="2">
                  <c:v>Service/Kundendienst</c:v>
                </c:pt>
                <c:pt idx="3">
                  <c:v>Zuverlässigkeit</c:v>
                </c:pt>
                <c:pt idx="4">
                  <c:v>Lieferbedingungen</c:v>
                </c:pt>
                <c:pt idx="5">
                  <c:v>Zahlungsbedingungen</c:v>
                </c:pt>
              </c:strCache>
            </c:strRef>
          </c:cat>
          <c:val>
            <c:numRef>
              <c:f>'Aufgabe 5_Lsg'!$D$24:$D$29</c:f>
              <c:numCache>
                <c:formatCode>0.00</c:formatCode>
                <c:ptCount val="6"/>
                <c:pt idx="0">
                  <c:v>2.8</c:v>
                </c:pt>
                <c:pt idx="1">
                  <c:v>2</c:v>
                </c:pt>
                <c:pt idx="2">
                  <c:v>0.75</c:v>
                </c:pt>
                <c:pt idx="3">
                  <c:v>0.7</c:v>
                </c:pt>
                <c:pt idx="4">
                  <c:v>0.1</c:v>
                </c:pt>
                <c:pt idx="5">
                  <c:v>0.2</c:v>
                </c:pt>
              </c:numCache>
            </c:numRef>
          </c:val>
          <c:extLst>
            <c:ext xmlns:c16="http://schemas.microsoft.com/office/drawing/2014/chart" uri="{C3380CC4-5D6E-409C-BE32-E72D297353CC}">
              <c16:uniqueId val="{00000000-8532-4AAE-A9F4-6061D8E4D5A1}"/>
            </c:ext>
          </c:extLst>
        </c:ser>
        <c:ser>
          <c:idx val="1"/>
          <c:order val="1"/>
          <c:tx>
            <c:strRef>
              <c:f>'Aufgabe 5_Lsg'!$E$22:$F$22</c:f>
              <c:strCache>
                <c:ptCount val="1"/>
                <c:pt idx="0">
                  <c:v> Prowert GmbH &amp; Co. KG</c:v>
                </c:pt>
              </c:strCache>
            </c:strRef>
          </c:tx>
          <c:spPr>
            <a:solidFill>
              <a:schemeClr val="accent2"/>
            </a:solidFill>
            <a:ln>
              <a:noFill/>
            </a:ln>
            <a:effectLst/>
          </c:spPr>
          <c:invertIfNegative val="0"/>
          <c:cat>
            <c:strRef>
              <c:f>'Aufgabe 5_Lsg'!$A$24:$A$29</c:f>
              <c:strCache>
                <c:ptCount val="6"/>
                <c:pt idx="0">
                  <c:v>Preis</c:v>
                </c:pt>
                <c:pt idx="1">
                  <c:v>Produktqualität</c:v>
                </c:pt>
                <c:pt idx="2">
                  <c:v>Service/Kundendienst</c:v>
                </c:pt>
                <c:pt idx="3">
                  <c:v>Zuverlässigkeit</c:v>
                </c:pt>
                <c:pt idx="4">
                  <c:v>Lieferbedingungen</c:v>
                </c:pt>
                <c:pt idx="5">
                  <c:v>Zahlungsbedingungen</c:v>
                </c:pt>
              </c:strCache>
            </c:strRef>
          </c:cat>
          <c:val>
            <c:numRef>
              <c:f>'Aufgabe 5_Lsg'!$F$24:$F$29</c:f>
              <c:numCache>
                <c:formatCode>0.00</c:formatCode>
                <c:ptCount val="6"/>
                <c:pt idx="0">
                  <c:v>2</c:v>
                </c:pt>
                <c:pt idx="1">
                  <c:v>2.25</c:v>
                </c:pt>
                <c:pt idx="2">
                  <c:v>1.2</c:v>
                </c:pt>
                <c:pt idx="3">
                  <c:v>0.7</c:v>
                </c:pt>
                <c:pt idx="4">
                  <c:v>0.2</c:v>
                </c:pt>
                <c:pt idx="5">
                  <c:v>0.3</c:v>
                </c:pt>
              </c:numCache>
            </c:numRef>
          </c:val>
          <c:extLst>
            <c:ext xmlns:c16="http://schemas.microsoft.com/office/drawing/2014/chart" uri="{C3380CC4-5D6E-409C-BE32-E72D297353CC}">
              <c16:uniqueId val="{00000001-8532-4AAE-A9F4-6061D8E4D5A1}"/>
            </c:ext>
          </c:extLst>
        </c:ser>
        <c:dLbls>
          <c:showLegendKey val="0"/>
          <c:showVal val="0"/>
          <c:showCatName val="0"/>
          <c:showSerName val="0"/>
          <c:showPercent val="0"/>
          <c:showBubbleSize val="0"/>
        </c:dLbls>
        <c:gapWidth val="219"/>
        <c:axId val="78148736"/>
        <c:axId val="78150272"/>
      </c:barChart>
      <c:catAx>
        <c:axId val="7814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78150272"/>
        <c:crosses val="autoZero"/>
        <c:auto val="1"/>
        <c:lblAlgn val="ctr"/>
        <c:lblOffset val="100"/>
        <c:noMultiLvlLbl val="0"/>
      </c:catAx>
      <c:valAx>
        <c:axId val="781502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781487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Anteile der Kosten für Energie und Rohstoffe an</a:t>
            </a:r>
            <a:r>
              <a:rPr lang="de-DE" baseline="0"/>
              <a:t> den Gesamtkosten</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'Aufgabe 6_Lsg'!$A$14</c:f>
              <c:strCache>
                <c:ptCount val="1"/>
                <c:pt idx="0">
                  <c:v>Anteil Energieaufwand</c:v>
                </c:pt>
              </c:strCache>
            </c:strRef>
          </c:tx>
          <c:spPr>
            <a:solidFill>
              <a:schemeClr val="accent1"/>
            </a:solidFill>
            <a:ln>
              <a:noFill/>
            </a:ln>
            <a:effectLst/>
          </c:spPr>
          <c:invertIfNegative val="0"/>
          <c:cat>
            <c:strRef>
              <c:f>'Aufgabe 6_Lsg'!$B$5:$F$5</c:f>
              <c:strCache>
                <c:ptCount val="5"/>
                <c:pt idx="0">
                  <c:v>1. Jahr</c:v>
                </c:pt>
                <c:pt idx="1">
                  <c:v>2. Jahr</c:v>
                </c:pt>
                <c:pt idx="2">
                  <c:v>3. Jahr</c:v>
                </c:pt>
                <c:pt idx="3">
                  <c:v>4. Jahr</c:v>
                </c:pt>
                <c:pt idx="4">
                  <c:v>5. Jahr</c:v>
                </c:pt>
              </c:strCache>
            </c:strRef>
          </c:cat>
          <c:val>
            <c:numRef>
              <c:f>'Aufgabe 6_Lsg'!$B$14:$F$14</c:f>
              <c:numCache>
                <c:formatCode>0.0%</c:formatCode>
                <c:ptCount val="5"/>
                <c:pt idx="0">
                  <c:v>8.1640757992197208E-2</c:v>
                </c:pt>
                <c:pt idx="1">
                  <c:v>8.5000273960990025E-2</c:v>
                </c:pt>
                <c:pt idx="2">
                  <c:v>7.2534863013651391E-2</c:v>
                </c:pt>
                <c:pt idx="3">
                  <c:v>7.0920569809912584E-2</c:v>
                </c:pt>
                <c:pt idx="4">
                  <c:v>7.0190029360384293E-2</c:v>
                </c:pt>
              </c:numCache>
            </c:numRef>
          </c:val>
          <c:extLst>
            <c:ext xmlns:c16="http://schemas.microsoft.com/office/drawing/2014/chart" uri="{C3380CC4-5D6E-409C-BE32-E72D297353CC}">
              <c16:uniqueId val="{00000000-FEF0-4C28-BEBB-9B956764D1A3}"/>
            </c:ext>
          </c:extLst>
        </c:ser>
        <c:ser>
          <c:idx val="1"/>
          <c:order val="1"/>
          <c:tx>
            <c:strRef>
              <c:f>'Aufgabe 6_Lsg'!$A$15</c:f>
              <c:strCache>
                <c:ptCount val="1"/>
                <c:pt idx="0">
                  <c:v>Anteil Rohstoffverbrauch</c:v>
                </c:pt>
              </c:strCache>
            </c:strRef>
          </c:tx>
          <c:spPr>
            <a:solidFill>
              <a:schemeClr val="accent2"/>
            </a:solidFill>
            <a:ln>
              <a:noFill/>
            </a:ln>
            <a:effectLst/>
          </c:spPr>
          <c:invertIfNegative val="0"/>
          <c:cat>
            <c:strRef>
              <c:f>'Aufgabe 6_Lsg'!$B$5:$F$5</c:f>
              <c:strCache>
                <c:ptCount val="5"/>
                <c:pt idx="0">
                  <c:v>1. Jahr</c:v>
                </c:pt>
                <c:pt idx="1">
                  <c:v>2. Jahr</c:v>
                </c:pt>
                <c:pt idx="2">
                  <c:v>3. Jahr</c:v>
                </c:pt>
                <c:pt idx="3">
                  <c:v>4. Jahr</c:v>
                </c:pt>
                <c:pt idx="4">
                  <c:v>5. Jahr</c:v>
                </c:pt>
              </c:strCache>
            </c:strRef>
          </c:cat>
          <c:val>
            <c:numRef>
              <c:f>'Aufgabe 6_Lsg'!$B$15:$F$15</c:f>
              <c:numCache>
                <c:formatCode>0.0%</c:formatCode>
                <c:ptCount val="5"/>
                <c:pt idx="0">
                  <c:v>0.23392048795071591</c:v>
                </c:pt>
                <c:pt idx="1">
                  <c:v>0.23979926068439247</c:v>
                </c:pt>
                <c:pt idx="2">
                  <c:v>0.23052350904103694</c:v>
                </c:pt>
                <c:pt idx="3">
                  <c:v>0.22427607623850826</c:v>
                </c:pt>
                <c:pt idx="4">
                  <c:v>0.2103770334995165</c:v>
                </c:pt>
              </c:numCache>
            </c:numRef>
          </c:val>
          <c:extLst>
            <c:ext xmlns:c16="http://schemas.microsoft.com/office/drawing/2014/chart" uri="{C3380CC4-5D6E-409C-BE32-E72D297353CC}">
              <c16:uniqueId val="{00000001-FEF0-4C28-BEBB-9B956764D1A3}"/>
            </c:ext>
          </c:extLst>
        </c:ser>
        <c:dLbls>
          <c:showLegendKey val="0"/>
          <c:showVal val="0"/>
          <c:showCatName val="0"/>
          <c:showSerName val="0"/>
          <c:showPercent val="0"/>
          <c:showBubbleSize val="0"/>
        </c:dLbls>
        <c:gapWidth val="219"/>
        <c:axId val="95120384"/>
        <c:axId val="95126656"/>
      </c:barChart>
      <c:catAx>
        <c:axId val="951203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5126656"/>
        <c:crosses val="autoZero"/>
        <c:auto val="1"/>
        <c:lblAlgn val="ctr"/>
        <c:lblOffset val="100"/>
        <c:noMultiLvlLbl val="0"/>
      </c:catAx>
      <c:valAx>
        <c:axId val="95126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Anteil </a:t>
                </a:r>
              </a:p>
              <a:p>
                <a:pPr>
                  <a:defRPr/>
                </a:pPr>
                <a:r>
                  <a:rPr lang="en-US"/>
                  <a:t>in Prozent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5120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Überblick Investitionsbereiche</a:t>
            </a:r>
          </a:p>
        </c:rich>
      </c:tx>
      <c:layout>
        <c:manualLayout>
          <c:xMode val="edge"/>
          <c:yMode val="edge"/>
          <c:x val="0.2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34976224846894138"/>
          <c:y val="0.29610819480898221"/>
          <c:w val="0.35880905511811018"/>
          <c:h val="0.598015091863516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5F-4A2D-AFB8-ADF6FC0BD5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5F-4A2D-AFB8-ADF6FC0BD50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5F-4A2D-AFB8-ADF6FC0BD50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5F-4A2D-AFB8-ADF6FC0BD50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5F-4A2D-AFB8-ADF6FC0BD50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65F-4A2D-AFB8-ADF6FC0BD50E}"/>
              </c:ext>
            </c:extLst>
          </c:dPt>
          <c:dLbls>
            <c:dLbl>
              <c:idx val="2"/>
              <c:layout>
                <c:manualLayout>
                  <c:x val="-0.10694444444444444"/>
                  <c:y val="0.14351851851851849"/>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487510936132983"/>
                      <c:h val="0.16645851560221639"/>
                    </c:manualLayout>
                  </c15:layout>
                </c:ext>
                <c:ext xmlns:c16="http://schemas.microsoft.com/office/drawing/2014/chart" uri="{C3380CC4-5D6E-409C-BE32-E72D297353CC}">
                  <c16:uniqueId val="{00000005-E65F-4A2D-AFB8-ADF6FC0BD50E}"/>
                </c:ext>
              </c:extLst>
            </c:dLbl>
            <c:dLbl>
              <c:idx val="3"/>
              <c:layout>
                <c:manualLayout>
                  <c:x val="-0.22777777777777777"/>
                  <c:y val="5.55555555555555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65F-4A2D-AFB8-ADF6FC0BD50E}"/>
                </c:ext>
              </c:extLst>
            </c:dLbl>
            <c:dLbl>
              <c:idx val="4"/>
              <c:layout>
                <c:manualLayout>
                  <c:x val="1.9444553805774253E-2"/>
                  <c:y val="2.314851268591426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311111111111109"/>
                      <c:h val="0.16645851560221639"/>
                    </c:manualLayout>
                  </c15:layout>
                </c:ext>
                <c:ext xmlns:c16="http://schemas.microsoft.com/office/drawing/2014/chart" uri="{C3380CC4-5D6E-409C-BE32-E72D297353CC}">
                  <c16:uniqueId val="{00000009-E65F-4A2D-AFB8-ADF6FC0BD50E}"/>
                </c:ext>
              </c:extLst>
            </c:dLbl>
            <c:dLbl>
              <c:idx val="5"/>
              <c:layout>
                <c:manualLayout>
                  <c:x val="0.10936421607092928"/>
                  <c:y val="-2.938820556325534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65F-4A2D-AFB8-ADF6FC0BD5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'Aufgabe  8_Lsg'!$A$7:$A$12</c:f>
              <c:strCache>
                <c:ptCount val="6"/>
                <c:pt idx="0">
                  <c:v>technische Anlagen</c:v>
                </c:pt>
                <c:pt idx="1">
                  <c:v>Fuhrpark</c:v>
                </c:pt>
                <c:pt idx="2">
                  <c:v>PC/Server/Laptops</c:v>
                </c:pt>
                <c:pt idx="3">
                  <c:v>Büromöbel</c:v>
                </c:pt>
                <c:pt idx="4">
                  <c:v>Fortbildung Mitarbeiter</c:v>
                </c:pt>
                <c:pt idx="5">
                  <c:v>Sonstige Investitionen</c:v>
                </c:pt>
              </c:strCache>
            </c:strRef>
          </c:cat>
          <c:val>
            <c:numRef>
              <c:f>'Aufgabe  8_Lsg'!$F$7:$F$12</c:f>
              <c:numCache>
                <c:formatCode>#,##0</c:formatCode>
                <c:ptCount val="6"/>
                <c:pt idx="0">
                  <c:v>520182</c:v>
                </c:pt>
                <c:pt idx="1">
                  <c:v>136608</c:v>
                </c:pt>
                <c:pt idx="2">
                  <c:v>73327.8</c:v>
                </c:pt>
                <c:pt idx="3">
                  <c:v>3515</c:v>
                </c:pt>
                <c:pt idx="4">
                  <c:v>20913</c:v>
                </c:pt>
                <c:pt idx="5">
                  <c:v>66013</c:v>
                </c:pt>
              </c:numCache>
            </c:numRef>
          </c:val>
          <c:extLst>
            <c:ext xmlns:c16="http://schemas.microsoft.com/office/drawing/2014/chart" uri="{C3380CC4-5D6E-409C-BE32-E72D297353CC}">
              <c16:uniqueId val="{0000000C-E65F-4A2D-AFB8-ADF6FC0BD50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Fehlerquote je Mitarbeiter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cat>
            <c:strRef>
              <c:f>'Aufgabe 10_Lsg'!$B$11:$B$21</c:f>
              <c:strCache>
                <c:ptCount val="11"/>
                <c:pt idx="0">
                  <c:v>Hummel, Heinrich</c:v>
                </c:pt>
                <c:pt idx="1">
                  <c:v>Justus, Jonas</c:v>
                </c:pt>
                <c:pt idx="2">
                  <c:v>Quandt, Quentin</c:v>
                </c:pt>
                <c:pt idx="3">
                  <c:v>Clemens, Carmen</c:v>
                </c:pt>
                <c:pt idx="4">
                  <c:v>Bär, Bärbel</c:v>
                </c:pt>
                <c:pt idx="5">
                  <c:v>Fiegler, Frank</c:v>
                </c:pt>
                <c:pt idx="6">
                  <c:v>Ackerman, Anton</c:v>
                </c:pt>
                <c:pt idx="7">
                  <c:v>Pogba, Paul</c:v>
                </c:pt>
                <c:pt idx="8">
                  <c:v>Gans, Gustav</c:v>
                </c:pt>
                <c:pt idx="9">
                  <c:v>Opfermann, Olga</c:v>
                </c:pt>
                <c:pt idx="10">
                  <c:v>Rossmann, Richard</c:v>
                </c:pt>
              </c:strCache>
            </c:strRef>
          </c:cat>
          <c:val>
            <c:numRef>
              <c:f>'Aufgabe 10_Lsg'!$E$11:$E$21</c:f>
              <c:numCache>
                <c:formatCode>0.0%</c:formatCode>
                <c:ptCount val="11"/>
                <c:pt idx="0">
                  <c:v>0</c:v>
                </c:pt>
                <c:pt idx="1">
                  <c:v>0</c:v>
                </c:pt>
                <c:pt idx="2">
                  <c:v>7.1428571428571426E-3</c:v>
                </c:pt>
                <c:pt idx="3">
                  <c:v>6.4516129032258064E-3</c:v>
                </c:pt>
                <c:pt idx="4">
                  <c:v>1.3793103448275862E-2</c:v>
                </c:pt>
                <c:pt idx="5">
                  <c:v>1.2738853503184714E-2</c:v>
                </c:pt>
                <c:pt idx="6">
                  <c:v>2.4844720496894408E-2</c:v>
                </c:pt>
                <c:pt idx="7">
                  <c:v>2.0833333333333332E-2</c:v>
                </c:pt>
                <c:pt idx="8">
                  <c:v>2.6490066225165563E-2</c:v>
                </c:pt>
                <c:pt idx="9">
                  <c:v>3.5294117647058823E-2</c:v>
                </c:pt>
                <c:pt idx="10">
                  <c:v>3.7209302325581395E-2</c:v>
                </c:pt>
              </c:numCache>
            </c:numRef>
          </c:val>
          <c:extLst>
            <c:ext xmlns:c16="http://schemas.microsoft.com/office/drawing/2014/chart" uri="{C3380CC4-5D6E-409C-BE32-E72D297353CC}">
              <c16:uniqueId val="{00000000-A9D6-4939-8F59-73A4CB55C765}"/>
            </c:ext>
          </c:extLst>
        </c:ser>
        <c:dLbls>
          <c:showLegendKey val="0"/>
          <c:showVal val="0"/>
          <c:showCatName val="0"/>
          <c:showSerName val="0"/>
          <c:showPercent val="0"/>
          <c:showBubbleSize val="0"/>
        </c:dLbls>
        <c:gapWidth val="219"/>
        <c:overlap val="-27"/>
        <c:axId val="97448320"/>
        <c:axId val="97449856"/>
      </c:barChart>
      <c:catAx>
        <c:axId val="9744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449856"/>
        <c:crosses val="autoZero"/>
        <c:auto val="1"/>
        <c:lblAlgn val="ctr"/>
        <c:lblOffset val="100"/>
        <c:noMultiLvlLbl val="0"/>
      </c:catAx>
      <c:valAx>
        <c:axId val="974498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448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Gesamtlohn je Mitarbeiter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'Aufgabe 10_Lsg'!$B$11:$B$21</c:f>
              <c:strCache>
                <c:ptCount val="11"/>
                <c:pt idx="0">
                  <c:v>Hummel, Heinrich</c:v>
                </c:pt>
                <c:pt idx="1">
                  <c:v>Justus, Jonas</c:v>
                </c:pt>
                <c:pt idx="2">
                  <c:v>Quandt, Quentin</c:v>
                </c:pt>
                <c:pt idx="3">
                  <c:v>Clemens, Carmen</c:v>
                </c:pt>
                <c:pt idx="4">
                  <c:v>Bär, Bärbel</c:v>
                </c:pt>
                <c:pt idx="5">
                  <c:v>Fiegler, Frank</c:v>
                </c:pt>
                <c:pt idx="6">
                  <c:v>Ackerman, Anton</c:v>
                </c:pt>
                <c:pt idx="7">
                  <c:v>Pogba, Paul</c:v>
                </c:pt>
                <c:pt idx="8">
                  <c:v>Gans, Gustav</c:v>
                </c:pt>
                <c:pt idx="9">
                  <c:v>Opfermann, Olga</c:v>
                </c:pt>
                <c:pt idx="10">
                  <c:v>Rossmann, Richard</c:v>
                </c:pt>
              </c:strCache>
            </c:strRef>
          </c:cat>
          <c:val>
            <c:numRef>
              <c:f>'Aufgabe 10_Lsg'!$H$11:$H$21</c:f>
              <c:numCache>
                <c:formatCode>#,##0.00\ "€"</c:formatCode>
                <c:ptCount val="11"/>
                <c:pt idx="0">
                  <c:v>2539.4</c:v>
                </c:pt>
                <c:pt idx="1">
                  <c:v>2073.1999999999998</c:v>
                </c:pt>
                <c:pt idx="2">
                  <c:v>1605</c:v>
                </c:pt>
                <c:pt idx="3">
                  <c:v>1995.5</c:v>
                </c:pt>
                <c:pt idx="4">
                  <c:v>1652.5</c:v>
                </c:pt>
                <c:pt idx="5">
                  <c:v>2017.7</c:v>
                </c:pt>
                <c:pt idx="6">
                  <c:v>1787.1</c:v>
                </c:pt>
                <c:pt idx="7">
                  <c:v>1368</c:v>
                </c:pt>
                <c:pt idx="8">
                  <c:v>1676.1</c:v>
                </c:pt>
                <c:pt idx="9">
                  <c:v>1887</c:v>
                </c:pt>
                <c:pt idx="10">
                  <c:v>2386.5</c:v>
                </c:pt>
              </c:numCache>
            </c:numRef>
          </c:val>
          <c:extLst>
            <c:ext xmlns:c16="http://schemas.microsoft.com/office/drawing/2014/chart" uri="{C3380CC4-5D6E-409C-BE32-E72D297353CC}">
              <c16:uniqueId val="{00000000-26F7-4B8D-BBD5-1F685ACACD1E}"/>
            </c:ext>
          </c:extLst>
        </c:ser>
        <c:dLbls>
          <c:showLegendKey val="0"/>
          <c:showVal val="0"/>
          <c:showCatName val="0"/>
          <c:showSerName val="0"/>
          <c:showPercent val="0"/>
          <c:showBubbleSize val="0"/>
        </c:dLbls>
        <c:gapWidth val="69"/>
        <c:axId val="98134656"/>
        <c:axId val="98136448"/>
      </c:barChart>
      <c:catAx>
        <c:axId val="9813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8136448"/>
        <c:crosses val="autoZero"/>
        <c:auto val="1"/>
        <c:lblAlgn val="ctr"/>
        <c:lblOffset val="100"/>
        <c:noMultiLvlLbl val="0"/>
      </c:catAx>
      <c:valAx>
        <c:axId val="98136448"/>
        <c:scaling>
          <c:orientation val="minMax"/>
        </c:scaling>
        <c:delete val="1"/>
        <c:axPos val="l"/>
        <c:numFmt formatCode="#,##0.00\ &quot;€&quot;" sourceLinked="1"/>
        <c:majorTickMark val="none"/>
        <c:minorTickMark val="none"/>
        <c:tickLblPos val="nextTo"/>
        <c:crossAx val="98134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10.xml.rels><?xml version="1.0" encoding="UTF-8" standalone="yes"?>
<Relationships xmlns="http://schemas.openxmlformats.org/package/2006/relationships"><Relationship Id="rId3" Type="http://schemas.openxmlformats.org/officeDocument/2006/relationships/hyperlink" Target="#&#220;bersicht!A1"/><Relationship Id="rId2" Type="http://schemas.openxmlformats.org/officeDocument/2006/relationships/chart" Target="../charts/chart3.xml"/><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12.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image" Target="../media/image2.tmp"/></Relationships>
</file>

<file path=xl/drawings/_rels/drawing14.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15.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16.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18.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2.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21.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22.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24.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25.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26.xml.rels><?xml version="1.0" encoding="UTF-8" standalone="yes"?>
<Relationships xmlns="http://schemas.openxmlformats.org/package/2006/relationships"><Relationship Id="rId3" Type="http://schemas.openxmlformats.org/officeDocument/2006/relationships/hyperlink" Target="#&#220;bersicht!A1"/><Relationship Id="rId2" Type="http://schemas.openxmlformats.org/officeDocument/2006/relationships/chart" Target="../charts/chart9.xml"/><Relationship Id="rId1" Type="http://schemas.openxmlformats.org/officeDocument/2006/relationships/chart" Target="../charts/chart8.xml"/></Relationships>
</file>

<file path=xl/drawings/_rels/drawing27.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28.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0.xml"/></Relationships>
</file>

<file path=xl/drawings/_rels/drawing29.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3.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30.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31.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32.xml.rels><?xml version="1.0" encoding="UTF-8" standalone="yes"?>
<Relationships xmlns="http://schemas.openxmlformats.org/package/2006/relationships"><Relationship Id="rId3" Type="http://schemas.openxmlformats.org/officeDocument/2006/relationships/hyperlink" Target="#&#220;bersicht!A1"/><Relationship Id="rId2" Type="http://schemas.openxmlformats.org/officeDocument/2006/relationships/chart" Target="../charts/chart12.xml"/><Relationship Id="rId1" Type="http://schemas.openxmlformats.org/officeDocument/2006/relationships/chart" Target="../charts/chart11.xml"/></Relationships>
</file>

<file path=xl/drawings/_rels/drawing33.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34.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3.xml"/></Relationships>
</file>

<file path=xl/drawings/_rels/drawing35.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36.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4.xml"/></Relationships>
</file>

<file path=xl/drawings/_rels/drawing37.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38.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5.xml"/></Relationships>
</file>

<file path=xl/drawings/_rels/drawing39.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0.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6.xml"/></Relationships>
</file>

<file path=xl/drawings/_rels/drawing41.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2.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3.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4.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5.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6.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7.xml"/></Relationships>
</file>

<file path=xl/drawings/_rels/drawing47.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48.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8.xml"/></Relationships>
</file>

<file path=xl/drawings/_rels/drawing49.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0.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1.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2.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3.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4.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9.xml"/></Relationships>
</file>

<file path=xl/drawings/_rels/drawing55.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6.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20.xml"/></Relationships>
</file>

<file path=xl/drawings/_rels/drawing57.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58.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21.xml"/></Relationships>
</file>

<file path=xl/drawings/_rels/drawing59.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6.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60.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61.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62.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7.xml.rels><?xml version="1.0" encoding="UTF-8" standalone="yes"?>
<Relationships xmlns="http://schemas.openxmlformats.org/package/2006/relationships"><Relationship Id="rId1" Type="http://schemas.openxmlformats.org/officeDocument/2006/relationships/hyperlink" Target="#&#220;bersicht!A1"/></Relationships>
</file>

<file path=xl/drawings/_rels/drawing8.xml.rels><?xml version="1.0" encoding="UTF-8" standalone="yes"?>
<Relationships xmlns="http://schemas.openxmlformats.org/package/2006/relationships"><Relationship Id="rId2" Type="http://schemas.openxmlformats.org/officeDocument/2006/relationships/hyperlink" Target="#&#220;bersicht!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220;bersicht!A1"/></Relationships>
</file>

<file path=xl/drawings/drawing1.xml><?xml version="1.0" encoding="utf-8"?>
<xdr:wsDr xmlns:xdr="http://schemas.openxmlformats.org/drawingml/2006/spreadsheetDrawing" xmlns:a="http://schemas.openxmlformats.org/drawingml/2006/main">
  <xdr:twoCellAnchor>
    <xdr:from>
      <xdr:col>6</xdr:col>
      <xdr:colOff>219808</xdr:colOff>
      <xdr:row>0</xdr:row>
      <xdr:rowOff>124557</xdr:rowOff>
    </xdr:from>
    <xdr:to>
      <xdr:col>7</xdr:col>
      <xdr:colOff>562708</xdr:colOff>
      <xdr:row>2</xdr:row>
      <xdr:rowOff>59934</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9C1EB926-AFD7-4174-B737-EC2B1FEC8198}"/>
            </a:ext>
          </a:extLst>
        </xdr:cNvPr>
        <xdr:cNvSpPr/>
      </xdr:nvSpPr>
      <xdr:spPr>
        <a:xfrm>
          <a:off x="4791808" y="124557"/>
          <a:ext cx="1104900" cy="367665"/>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47625</xdr:colOff>
      <xdr:row>3</xdr:row>
      <xdr:rowOff>180975</xdr:rowOff>
    </xdr:from>
    <xdr:to>
      <xdr:col>14</xdr:col>
      <xdr:colOff>47625</xdr:colOff>
      <xdr:row>18</xdr:row>
      <xdr:rowOff>66675</xdr:rowOff>
    </xdr:to>
    <xdr:graphicFrame macro="">
      <xdr:nvGraphicFramePr>
        <xdr:cNvPr id="2" name="Diagramm 1">
          <a:extLst>
            <a:ext uri="{FF2B5EF4-FFF2-40B4-BE49-F238E27FC236}">
              <a16:creationId xmlns:a16="http://schemas.microsoft.com/office/drawing/2014/main" id="{2F4E8AC5-8566-41BC-965C-7B0C5E26F7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42862</xdr:colOff>
      <xdr:row>18</xdr:row>
      <xdr:rowOff>114300</xdr:rowOff>
    </xdr:from>
    <xdr:to>
      <xdr:col>14</xdr:col>
      <xdr:colOff>42862</xdr:colOff>
      <xdr:row>33</xdr:row>
      <xdr:rowOff>0</xdr:rowOff>
    </xdr:to>
    <xdr:graphicFrame macro="">
      <xdr:nvGraphicFramePr>
        <xdr:cNvPr id="3" name="Diagramm 2">
          <a:extLst>
            <a:ext uri="{FF2B5EF4-FFF2-40B4-BE49-F238E27FC236}">
              <a16:creationId xmlns:a16="http://schemas.microsoft.com/office/drawing/2014/main" id="{5434310A-E6E0-4459-B0A9-E7FE5283F7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1</xdr:row>
      <xdr:rowOff>45720</xdr:rowOff>
    </xdr:from>
    <xdr:to>
      <xdr:col>7</xdr:col>
      <xdr:colOff>449580</xdr:colOff>
      <xdr:row>3</xdr:row>
      <xdr:rowOff>38100</xdr:rowOff>
    </xdr:to>
    <xdr:sp macro="" textlink="">
      <xdr:nvSpPr>
        <xdr:cNvPr id="4" name="Rechteck: abgerundete Ecken 3">
          <a:hlinkClick xmlns:r="http://schemas.openxmlformats.org/officeDocument/2006/relationships" r:id="rId3"/>
          <a:extLst>
            <a:ext uri="{FF2B5EF4-FFF2-40B4-BE49-F238E27FC236}">
              <a16:creationId xmlns:a16="http://schemas.microsoft.com/office/drawing/2014/main" id="{6A103FE0-3AFA-4235-99AF-CAB6C232C43B}"/>
            </a:ext>
          </a:extLst>
        </xdr:cNvPr>
        <xdr:cNvSpPr/>
      </xdr:nvSpPr>
      <xdr:spPr>
        <a:xfrm>
          <a:off x="6972300" y="3124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548640</xdr:colOff>
      <xdr:row>1</xdr:row>
      <xdr:rowOff>30480</xdr:rowOff>
    </xdr:from>
    <xdr:to>
      <xdr:col>6</xdr:col>
      <xdr:colOff>525780</xdr:colOff>
      <xdr:row>3</xdr:row>
      <xdr:rowOff>22860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28C0CC3D-19DB-4116-8A17-299FDC2A2AB7}"/>
            </a:ext>
          </a:extLst>
        </xdr:cNvPr>
        <xdr:cNvSpPr/>
      </xdr:nvSpPr>
      <xdr:spPr>
        <a:xfrm>
          <a:off x="7223760" y="2971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80962</xdr:colOff>
      <xdr:row>40</xdr:row>
      <xdr:rowOff>47625</xdr:rowOff>
    </xdr:from>
    <xdr:to>
      <xdr:col>6</xdr:col>
      <xdr:colOff>1147762</xdr:colOff>
      <xdr:row>62</xdr:row>
      <xdr:rowOff>161925</xdr:rowOff>
    </xdr:to>
    <xdr:graphicFrame macro="">
      <xdr:nvGraphicFramePr>
        <xdr:cNvPr id="2" name="Diagramm 1">
          <a:extLst>
            <a:ext uri="{FF2B5EF4-FFF2-40B4-BE49-F238E27FC236}">
              <a16:creationId xmlns:a16="http://schemas.microsoft.com/office/drawing/2014/main" id="{291CF5E3-D1CC-457C-BB62-69683F9A7A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619125</xdr:colOff>
      <xdr:row>0</xdr:row>
      <xdr:rowOff>200025</xdr:rowOff>
    </xdr:from>
    <xdr:to>
      <xdr:col>7</xdr:col>
      <xdr:colOff>487680</xdr:colOff>
      <xdr:row>2</xdr:row>
      <xdr:rowOff>110490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0DEB3262-ED90-41C1-B2E6-5F4094ECA068}"/>
            </a:ext>
          </a:extLst>
        </xdr:cNvPr>
        <xdr:cNvSpPr/>
      </xdr:nvSpPr>
      <xdr:spPr>
        <a:xfrm>
          <a:off x="8467725" y="200025"/>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55563</xdr:colOff>
      <xdr:row>17</xdr:row>
      <xdr:rowOff>178594</xdr:rowOff>
    </xdr:from>
    <xdr:to>
      <xdr:col>14</xdr:col>
      <xdr:colOff>26555</xdr:colOff>
      <xdr:row>29</xdr:row>
      <xdr:rowOff>47624</xdr:rowOff>
    </xdr:to>
    <xdr:pic>
      <xdr:nvPicPr>
        <xdr:cNvPr id="8" name="Grafik 7" descr="Mappe1 - Excel">
          <a:extLst>
            <a:ext uri="{FF2B5EF4-FFF2-40B4-BE49-F238E27FC236}">
              <a16:creationId xmlns:a16="http://schemas.microsoft.com/office/drawing/2014/main" id="{0CAD72FD-E615-47F6-A4FA-4652D053C9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1958" r="69852" b="30407"/>
        <a:stretch/>
      </xdr:blipFill>
      <xdr:spPr>
        <a:xfrm>
          <a:off x="6646863" y="3709194"/>
          <a:ext cx="7057592" cy="2028030"/>
        </a:xfrm>
        <a:prstGeom prst="rect">
          <a:avLst/>
        </a:prstGeom>
      </xdr:spPr>
    </xdr:pic>
    <xdr:clientData/>
  </xdr:twoCellAnchor>
  <xdr:twoCellAnchor>
    <xdr:from>
      <xdr:col>3</xdr:col>
      <xdr:colOff>739140</xdr:colOff>
      <xdr:row>1</xdr:row>
      <xdr:rowOff>91440</xdr:rowOff>
    </xdr:from>
    <xdr:to>
      <xdr:col>4</xdr:col>
      <xdr:colOff>708660</xdr:colOff>
      <xdr:row>3</xdr:row>
      <xdr:rowOff>83820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9C85562D-024B-473B-B2C2-54775C843C34}"/>
            </a:ext>
          </a:extLst>
        </xdr:cNvPr>
        <xdr:cNvSpPr/>
      </xdr:nvSpPr>
      <xdr:spPr>
        <a:xfrm>
          <a:off x="5158740" y="3581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516835</xdr:colOff>
      <xdr:row>1</xdr:row>
      <xdr:rowOff>33130</xdr:rowOff>
    </xdr:from>
    <xdr:to>
      <xdr:col>4</xdr:col>
      <xdr:colOff>486024</xdr:colOff>
      <xdr:row>3</xdr:row>
      <xdr:rowOff>20209</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D232240C-1880-484D-B816-2EED136768B7}"/>
            </a:ext>
          </a:extLst>
        </xdr:cNvPr>
        <xdr:cNvSpPr/>
      </xdr:nvSpPr>
      <xdr:spPr>
        <a:xfrm>
          <a:off x="4949687" y="298173"/>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404191</xdr:colOff>
      <xdr:row>0</xdr:row>
      <xdr:rowOff>86139</xdr:rowOff>
    </xdr:from>
    <xdr:to>
      <xdr:col>5</xdr:col>
      <xdr:colOff>505902</xdr:colOff>
      <xdr:row>1</xdr:row>
      <xdr:rowOff>179236</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8DD64EC1-7211-499A-A0D9-5A1B55384DD5}"/>
            </a:ext>
          </a:extLst>
        </xdr:cNvPr>
        <xdr:cNvSpPr/>
      </xdr:nvSpPr>
      <xdr:spPr>
        <a:xfrm>
          <a:off x="4790661" y="86139"/>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590549</xdr:colOff>
      <xdr:row>39</xdr:row>
      <xdr:rowOff>133350</xdr:rowOff>
    </xdr:from>
    <xdr:to>
      <xdr:col>5</xdr:col>
      <xdr:colOff>1190625</xdr:colOff>
      <xdr:row>59</xdr:row>
      <xdr:rowOff>52387</xdr:rowOff>
    </xdr:to>
    <xdr:graphicFrame macro="">
      <xdr:nvGraphicFramePr>
        <xdr:cNvPr id="2" name="Diagramm 1">
          <a:extLst>
            <a:ext uri="{FF2B5EF4-FFF2-40B4-BE49-F238E27FC236}">
              <a16:creationId xmlns:a16="http://schemas.microsoft.com/office/drawing/2014/main" id="{959AF928-2FF3-4CB3-A8F2-B36344F4C1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371061</xdr:colOff>
      <xdr:row>0</xdr:row>
      <xdr:rowOff>66261</xdr:rowOff>
    </xdr:from>
    <xdr:to>
      <xdr:col>5</xdr:col>
      <xdr:colOff>472771</xdr:colOff>
      <xdr:row>1</xdr:row>
      <xdr:rowOff>159358</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101CFB56-7CB1-40E6-8C58-E90B4DFCBDB8}"/>
            </a:ext>
          </a:extLst>
        </xdr:cNvPr>
        <xdr:cNvSpPr/>
      </xdr:nvSpPr>
      <xdr:spPr>
        <a:xfrm>
          <a:off x="5055704" y="66261"/>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175260</xdr:colOff>
      <xdr:row>0</xdr:row>
      <xdr:rowOff>68580</xdr:rowOff>
    </xdr:from>
    <xdr:to>
      <xdr:col>5</xdr:col>
      <xdr:colOff>525780</xdr:colOff>
      <xdr:row>1</xdr:row>
      <xdr:rowOff>160020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27D4E16D-F7AF-42A8-BB34-A0CAF3A66C66}"/>
            </a:ext>
          </a:extLst>
        </xdr:cNvPr>
        <xdr:cNvSpPr/>
      </xdr:nvSpPr>
      <xdr:spPr>
        <a:xfrm>
          <a:off x="4358640" y="685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185737</xdr:colOff>
      <xdr:row>26</xdr:row>
      <xdr:rowOff>90486</xdr:rowOff>
    </xdr:from>
    <xdr:to>
      <xdr:col>7</xdr:col>
      <xdr:colOff>838200</xdr:colOff>
      <xdr:row>43</xdr:row>
      <xdr:rowOff>133349</xdr:rowOff>
    </xdr:to>
    <xdr:graphicFrame macro="">
      <xdr:nvGraphicFramePr>
        <xdr:cNvPr id="2" name="Diagramm 1">
          <a:extLst>
            <a:ext uri="{FF2B5EF4-FFF2-40B4-BE49-F238E27FC236}">
              <a16:creationId xmlns:a16="http://schemas.microsoft.com/office/drawing/2014/main" id="{A60B5733-DC44-4CBC-918A-A5A457DE9B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xdr:colOff>
      <xdr:row>0</xdr:row>
      <xdr:rowOff>76200</xdr:rowOff>
    </xdr:from>
    <xdr:to>
      <xdr:col>6</xdr:col>
      <xdr:colOff>609600</xdr:colOff>
      <xdr:row>1</xdr:row>
      <xdr:rowOff>167640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A6B57FFA-DCCD-4A2D-9536-6F31C55D82B9}"/>
            </a:ext>
          </a:extLst>
        </xdr:cNvPr>
        <xdr:cNvSpPr/>
      </xdr:nvSpPr>
      <xdr:spPr>
        <a:xfrm>
          <a:off x="5097780" y="762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289560</xdr:colOff>
      <xdr:row>1</xdr:row>
      <xdr:rowOff>53340</xdr:rowOff>
    </xdr:from>
    <xdr:to>
      <xdr:col>3</xdr:col>
      <xdr:colOff>640080</xdr:colOff>
      <xdr:row>3</xdr:row>
      <xdr:rowOff>45720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A4C63EF4-023B-4D6C-A01B-F706A0677055}"/>
            </a:ext>
          </a:extLst>
        </xdr:cNvPr>
        <xdr:cNvSpPr/>
      </xdr:nvSpPr>
      <xdr:spPr>
        <a:xfrm>
          <a:off x="2811780" y="3200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32</xdr:row>
      <xdr:rowOff>95250</xdr:rowOff>
    </xdr:from>
    <xdr:to>
      <xdr:col>3</xdr:col>
      <xdr:colOff>704850</xdr:colOff>
      <xdr:row>33</xdr:row>
      <xdr:rowOff>180975</xdr:rowOff>
    </xdr:to>
    <xdr:pic>
      <xdr:nvPicPr>
        <xdr:cNvPr id="4" name="Grafik 3">
          <a:extLst>
            <a:ext uri="{FF2B5EF4-FFF2-40B4-BE49-F238E27FC236}">
              <a16:creationId xmlns:a16="http://schemas.microsoft.com/office/drawing/2014/main" id="{E5F9371C-07B3-46A4-9448-2D22ED055881}"/>
            </a:ext>
          </a:extLst>
        </xdr:cNvPr>
        <xdr:cNvPicPr>
          <a:picLocks noChangeAspect="1"/>
        </xdr:cNvPicPr>
      </xdr:nvPicPr>
      <xdr:blipFill rotWithShape="1">
        <a:blip xmlns:r="http://schemas.openxmlformats.org/officeDocument/2006/relationships" r:embed="rId1"/>
        <a:srcRect l="83969" t="5926" r="9051" b="91388"/>
        <a:stretch/>
      </xdr:blipFill>
      <xdr:spPr>
        <a:xfrm>
          <a:off x="2047875" y="6191250"/>
          <a:ext cx="1276350" cy="276225"/>
        </a:xfrm>
        <a:prstGeom prst="rect">
          <a:avLst/>
        </a:prstGeom>
      </xdr:spPr>
    </xdr:pic>
    <xdr:clientData/>
  </xdr:twoCellAnchor>
  <xdr:twoCellAnchor>
    <xdr:from>
      <xdr:col>6</xdr:col>
      <xdr:colOff>617220</xdr:colOff>
      <xdr:row>1</xdr:row>
      <xdr:rowOff>22860</xdr:rowOff>
    </xdr:from>
    <xdr:to>
      <xdr:col>7</xdr:col>
      <xdr:colOff>541020</xdr:colOff>
      <xdr:row>2</xdr:row>
      <xdr:rowOff>152400</xdr:rowOff>
    </xdr:to>
    <xdr:sp macro="" textlink="">
      <xdr:nvSpPr>
        <xdr:cNvPr id="2" name="Rechteck: abgerundete Ecken 1">
          <a:hlinkClick xmlns:r="http://schemas.openxmlformats.org/officeDocument/2006/relationships" r:id="rId2"/>
          <a:extLst>
            <a:ext uri="{FF2B5EF4-FFF2-40B4-BE49-F238E27FC236}">
              <a16:creationId xmlns:a16="http://schemas.microsoft.com/office/drawing/2014/main" id="{BFFAE065-0599-429A-A833-62ECD75CEF61}"/>
            </a:ext>
          </a:extLst>
        </xdr:cNvPr>
        <xdr:cNvSpPr/>
      </xdr:nvSpPr>
      <xdr:spPr>
        <a:xfrm>
          <a:off x="6256020" y="2057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129540</xdr:colOff>
      <xdr:row>0</xdr:row>
      <xdr:rowOff>68580</xdr:rowOff>
    </xdr:from>
    <xdr:to>
      <xdr:col>5</xdr:col>
      <xdr:colOff>472440</xdr:colOff>
      <xdr:row>1</xdr:row>
      <xdr:rowOff>160020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47FECBD9-9CC1-41CB-96E1-DDED09DA083C}"/>
            </a:ext>
          </a:extLst>
        </xdr:cNvPr>
        <xdr:cNvSpPr/>
      </xdr:nvSpPr>
      <xdr:spPr>
        <a:xfrm>
          <a:off x="4358640" y="685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83820</xdr:colOff>
      <xdr:row>0</xdr:row>
      <xdr:rowOff>30480</xdr:rowOff>
    </xdr:from>
    <xdr:to>
      <xdr:col>5</xdr:col>
      <xdr:colOff>434340</xdr:colOff>
      <xdr:row>1</xdr:row>
      <xdr:rowOff>121920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E0C6CE15-34DC-4F23-A7A2-BE61796C77AE}"/>
            </a:ext>
          </a:extLst>
        </xdr:cNvPr>
        <xdr:cNvSpPr/>
      </xdr:nvSpPr>
      <xdr:spPr>
        <a:xfrm>
          <a:off x="4038600" y="304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85725</xdr:colOff>
      <xdr:row>25</xdr:row>
      <xdr:rowOff>109536</xdr:rowOff>
    </xdr:from>
    <xdr:to>
      <xdr:col>6</xdr:col>
      <xdr:colOff>209550</xdr:colOff>
      <xdr:row>41</xdr:row>
      <xdr:rowOff>19049</xdr:rowOff>
    </xdr:to>
    <xdr:graphicFrame macro="">
      <xdr:nvGraphicFramePr>
        <xdr:cNvPr id="2" name="Diagramm 1">
          <a:extLst>
            <a:ext uri="{FF2B5EF4-FFF2-40B4-BE49-F238E27FC236}">
              <a16:creationId xmlns:a16="http://schemas.microsoft.com/office/drawing/2014/main" id="{F56D8AE9-3D9C-4A0E-ADD0-AF1BD928D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160020</xdr:colOff>
      <xdr:row>0</xdr:row>
      <xdr:rowOff>38100</xdr:rowOff>
    </xdr:from>
    <xdr:to>
      <xdr:col>5</xdr:col>
      <xdr:colOff>510540</xdr:colOff>
      <xdr:row>1</xdr:row>
      <xdr:rowOff>129540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10E2263A-BA48-4101-BB40-83D625DF970D}"/>
            </a:ext>
          </a:extLst>
        </xdr:cNvPr>
        <xdr:cNvSpPr/>
      </xdr:nvSpPr>
      <xdr:spPr>
        <a:xfrm>
          <a:off x="4168140" y="381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281940</xdr:colOff>
      <xdr:row>0</xdr:row>
      <xdr:rowOff>68580</xdr:rowOff>
    </xdr:from>
    <xdr:to>
      <xdr:col>6</xdr:col>
      <xdr:colOff>556260</xdr:colOff>
      <xdr:row>1</xdr:row>
      <xdr:rowOff>160020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C3E06D0D-CE3D-4478-A4E5-99886DB92109}"/>
            </a:ext>
          </a:extLst>
        </xdr:cNvPr>
        <xdr:cNvSpPr/>
      </xdr:nvSpPr>
      <xdr:spPr>
        <a:xfrm>
          <a:off x="6073140" y="685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236220</xdr:colOff>
      <xdr:row>0</xdr:row>
      <xdr:rowOff>53340</xdr:rowOff>
    </xdr:from>
    <xdr:to>
      <xdr:col>6</xdr:col>
      <xdr:colOff>510540</xdr:colOff>
      <xdr:row>1</xdr:row>
      <xdr:rowOff>144780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4F90B57F-2EDF-4678-97F7-4F6E100AA756}"/>
            </a:ext>
          </a:extLst>
        </xdr:cNvPr>
        <xdr:cNvSpPr/>
      </xdr:nvSpPr>
      <xdr:spPr>
        <a:xfrm>
          <a:off x="6027420" y="533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662940</xdr:colOff>
      <xdr:row>0</xdr:row>
      <xdr:rowOff>45720</xdr:rowOff>
    </xdr:from>
    <xdr:to>
      <xdr:col>6</xdr:col>
      <xdr:colOff>586740</xdr:colOff>
      <xdr:row>1</xdr:row>
      <xdr:rowOff>137160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3022A681-36DE-43B0-B880-366E6ED76F58}"/>
            </a:ext>
          </a:extLst>
        </xdr:cNvPr>
        <xdr:cNvSpPr/>
      </xdr:nvSpPr>
      <xdr:spPr>
        <a:xfrm>
          <a:off x="6294120" y="457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161925</xdr:colOff>
      <xdr:row>36</xdr:row>
      <xdr:rowOff>52387</xdr:rowOff>
    </xdr:from>
    <xdr:to>
      <xdr:col>4</xdr:col>
      <xdr:colOff>428625</xdr:colOff>
      <xdr:row>50</xdr:row>
      <xdr:rowOff>128587</xdr:rowOff>
    </xdr:to>
    <xdr:graphicFrame macro="">
      <xdr:nvGraphicFramePr>
        <xdr:cNvPr id="2" name="Diagramm 1">
          <a:extLst>
            <a:ext uri="{FF2B5EF4-FFF2-40B4-BE49-F238E27FC236}">
              <a16:creationId xmlns:a16="http://schemas.microsoft.com/office/drawing/2014/main" id="{EF152E70-F6FA-4B1B-B89B-C557BC037F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552449</xdr:colOff>
      <xdr:row>36</xdr:row>
      <xdr:rowOff>38100</xdr:rowOff>
    </xdr:from>
    <xdr:to>
      <xdr:col>9</xdr:col>
      <xdr:colOff>47624</xdr:colOff>
      <xdr:row>50</xdr:row>
      <xdr:rowOff>114300</xdr:rowOff>
    </xdr:to>
    <xdr:graphicFrame macro="">
      <xdr:nvGraphicFramePr>
        <xdr:cNvPr id="4" name="Diagramm 3">
          <a:extLst>
            <a:ext uri="{FF2B5EF4-FFF2-40B4-BE49-F238E27FC236}">
              <a16:creationId xmlns:a16="http://schemas.microsoft.com/office/drawing/2014/main" id="{8D7E63E4-0700-41D3-80B9-024D9C8EB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609600</xdr:colOff>
      <xdr:row>0</xdr:row>
      <xdr:rowOff>45720</xdr:rowOff>
    </xdr:from>
    <xdr:to>
      <xdr:col>6</xdr:col>
      <xdr:colOff>533400</xdr:colOff>
      <xdr:row>1</xdr:row>
      <xdr:rowOff>137160</xdr:rowOff>
    </xdr:to>
    <xdr:sp macro="" textlink="">
      <xdr:nvSpPr>
        <xdr:cNvPr id="5" name="Rechteck: abgerundete Ecken 4">
          <a:hlinkClick xmlns:r="http://schemas.openxmlformats.org/officeDocument/2006/relationships" r:id="rId3"/>
          <a:extLst>
            <a:ext uri="{FF2B5EF4-FFF2-40B4-BE49-F238E27FC236}">
              <a16:creationId xmlns:a16="http://schemas.microsoft.com/office/drawing/2014/main" id="{D9F337FC-00C4-442B-8B06-EC2018BFCD21}"/>
            </a:ext>
          </a:extLst>
        </xdr:cNvPr>
        <xdr:cNvSpPr/>
      </xdr:nvSpPr>
      <xdr:spPr>
        <a:xfrm>
          <a:off x="6248400" y="457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240030</xdr:colOff>
      <xdr:row>1</xdr:row>
      <xdr:rowOff>114300</xdr:rowOff>
    </xdr:from>
    <xdr:to>
      <xdr:col>4</xdr:col>
      <xdr:colOff>438150</xdr:colOff>
      <xdr:row>3</xdr:row>
      <xdr:rowOff>91440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4206A73E-0DEB-4B1A-B7CF-6F007D39A14E}"/>
            </a:ext>
          </a:extLst>
        </xdr:cNvPr>
        <xdr:cNvSpPr/>
      </xdr:nvSpPr>
      <xdr:spPr>
        <a:xfrm>
          <a:off x="3459480" y="381000"/>
          <a:ext cx="111252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180975</xdr:colOff>
      <xdr:row>4</xdr:row>
      <xdr:rowOff>4762</xdr:rowOff>
    </xdr:from>
    <xdr:to>
      <xdr:col>13</xdr:col>
      <xdr:colOff>180975</xdr:colOff>
      <xdr:row>17</xdr:row>
      <xdr:rowOff>138112</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203835</xdr:colOff>
      <xdr:row>1</xdr:row>
      <xdr:rowOff>43815</xdr:rowOff>
    </xdr:from>
    <xdr:to>
      <xdr:col>5</xdr:col>
      <xdr:colOff>417195</xdr:colOff>
      <xdr:row>3</xdr:row>
      <xdr:rowOff>20955</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666BBAA5-7D3F-4987-8BE2-97DDA90821CF}"/>
            </a:ext>
          </a:extLst>
        </xdr:cNvPr>
        <xdr:cNvSpPr/>
      </xdr:nvSpPr>
      <xdr:spPr>
        <a:xfrm>
          <a:off x="3861435" y="310515"/>
          <a:ext cx="110871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152400</xdr:colOff>
      <xdr:row>1</xdr:row>
      <xdr:rowOff>38100</xdr:rowOff>
    </xdr:from>
    <xdr:to>
      <xdr:col>6</xdr:col>
      <xdr:colOff>198120</xdr:colOff>
      <xdr:row>3</xdr:row>
      <xdr:rowOff>30480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F5991BAF-D79A-4195-9BD4-4FE5DACCD44E}"/>
            </a:ext>
          </a:extLst>
        </xdr:cNvPr>
        <xdr:cNvSpPr/>
      </xdr:nvSpPr>
      <xdr:spPr>
        <a:xfrm>
          <a:off x="4922520" y="3048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xdr:colOff>
      <xdr:row>1</xdr:row>
      <xdr:rowOff>53340</xdr:rowOff>
    </xdr:from>
    <xdr:to>
      <xdr:col>6</xdr:col>
      <xdr:colOff>251460</xdr:colOff>
      <xdr:row>3</xdr:row>
      <xdr:rowOff>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EB0243A1-1DD1-4235-8463-7ED37EC7F932}"/>
            </a:ext>
          </a:extLst>
        </xdr:cNvPr>
        <xdr:cNvSpPr/>
      </xdr:nvSpPr>
      <xdr:spPr>
        <a:xfrm>
          <a:off x="4549140" y="2362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83820</xdr:colOff>
      <xdr:row>1</xdr:row>
      <xdr:rowOff>99060</xdr:rowOff>
    </xdr:from>
    <xdr:to>
      <xdr:col>4</xdr:col>
      <xdr:colOff>434340</xdr:colOff>
      <xdr:row>3</xdr:row>
      <xdr:rowOff>53340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F2ED48E8-F84C-4C85-9F0A-2444B0B99B3D}"/>
            </a:ext>
          </a:extLst>
        </xdr:cNvPr>
        <xdr:cNvSpPr/>
      </xdr:nvSpPr>
      <xdr:spPr>
        <a:xfrm>
          <a:off x="4526280" y="3657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243840</xdr:colOff>
      <xdr:row>0</xdr:row>
      <xdr:rowOff>45720</xdr:rowOff>
    </xdr:from>
    <xdr:to>
      <xdr:col>6</xdr:col>
      <xdr:colOff>594360</xdr:colOff>
      <xdr:row>1</xdr:row>
      <xdr:rowOff>137160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088A0866-1666-4E92-BE27-609074570CEA}"/>
            </a:ext>
          </a:extLst>
        </xdr:cNvPr>
        <xdr:cNvSpPr/>
      </xdr:nvSpPr>
      <xdr:spPr>
        <a:xfrm>
          <a:off x="4274820" y="457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342900</xdr:colOff>
      <xdr:row>23</xdr:row>
      <xdr:rowOff>33337</xdr:rowOff>
    </xdr:from>
    <xdr:to>
      <xdr:col>6</xdr:col>
      <xdr:colOff>342900</xdr:colOff>
      <xdr:row>37</xdr:row>
      <xdr:rowOff>109537</xdr:rowOff>
    </xdr:to>
    <xdr:graphicFrame macro="">
      <xdr:nvGraphicFramePr>
        <xdr:cNvPr id="2" name="Diagramm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485775</xdr:colOff>
      <xdr:row>22</xdr:row>
      <xdr:rowOff>185737</xdr:rowOff>
    </xdr:from>
    <xdr:to>
      <xdr:col>12</xdr:col>
      <xdr:colOff>485775</xdr:colOff>
      <xdr:row>37</xdr:row>
      <xdr:rowOff>71437</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167640</xdr:colOff>
      <xdr:row>0</xdr:row>
      <xdr:rowOff>53340</xdr:rowOff>
    </xdr:from>
    <xdr:to>
      <xdr:col>9</xdr:col>
      <xdr:colOff>510540</xdr:colOff>
      <xdr:row>1</xdr:row>
      <xdr:rowOff>144780</xdr:rowOff>
    </xdr:to>
    <xdr:sp macro="" textlink="">
      <xdr:nvSpPr>
        <xdr:cNvPr id="5" name="Rechteck: abgerundete Ecken 4">
          <a:hlinkClick xmlns:r="http://schemas.openxmlformats.org/officeDocument/2006/relationships" r:id="rId3"/>
          <a:extLst>
            <a:ext uri="{FF2B5EF4-FFF2-40B4-BE49-F238E27FC236}">
              <a16:creationId xmlns:a16="http://schemas.microsoft.com/office/drawing/2014/main" id="{FB65D8CA-7815-4349-A6D8-E72FB7F6C6D2}"/>
            </a:ext>
          </a:extLst>
        </xdr:cNvPr>
        <xdr:cNvSpPr/>
      </xdr:nvSpPr>
      <xdr:spPr>
        <a:xfrm>
          <a:off x="6507480" y="533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175260</xdr:colOff>
      <xdr:row>0</xdr:row>
      <xdr:rowOff>38100</xdr:rowOff>
    </xdr:from>
    <xdr:to>
      <xdr:col>7</xdr:col>
      <xdr:colOff>525780</xdr:colOff>
      <xdr:row>1</xdr:row>
      <xdr:rowOff>129540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0759E448-8801-46CB-A93C-AC5300584C08}"/>
            </a:ext>
          </a:extLst>
        </xdr:cNvPr>
        <xdr:cNvSpPr/>
      </xdr:nvSpPr>
      <xdr:spPr>
        <a:xfrm>
          <a:off x="5547360" y="381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38099</xdr:colOff>
      <xdr:row>25</xdr:row>
      <xdr:rowOff>157162</xdr:rowOff>
    </xdr:from>
    <xdr:to>
      <xdr:col>7</xdr:col>
      <xdr:colOff>638174</xdr:colOff>
      <xdr:row>42</xdr:row>
      <xdr:rowOff>0</xdr:rowOff>
    </xdr:to>
    <xdr:graphicFrame macro="">
      <xdr:nvGraphicFramePr>
        <xdr:cNvPr id="2" name="Diagramm 1">
          <a:extLst>
            <a:ext uri="{FF2B5EF4-FFF2-40B4-BE49-F238E27FC236}">
              <a16:creationId xmlns:a16="http://schemas.microsoft.com/office/drawing/2014/main" id="{8155AC98-3969-4F79-8FD3-A1725EA668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281940</xdr:colOff>
      <xdr:row>0</xdr:row>
      <xdr:rowOff>53340</xdr:rowOff>
    </xdr:from>
    <xdr:to>
      <xdr:col>6</xdr:col>
      <xdr:colOff>624840</xdr:colOff>
      <xdr:row>1</xdr:row>
      <xdr:rowOff>144780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C700E1A8-1722-4F6E-A137-653BDB13FA0D}"/>
            </a:ext>
          </a:extLst>
        </xdr:cNvPr>
        <xdr:cNvSpPr/>
      </xdr:nvSpPr>
      <xdr:spPr>
        <a:xfrm>
          <a:off x="5120640" y="533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45720</xdr:colOff>
      <xdr:row>0</xdr:row>
      <xdr:rowOff>60960</xdr:rowOff>
    </xdr:from>
    <xdr:to>
      <xdr:col>6</xdr:col>
      <xdr:colOff>396240</xdr:colOff>
      <xdr:row>1</xdr:row>
      <xdr:rowOff>152400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FA7ED51D-2869-46EB-AA64-B8D9DE68FB62}"/>
            </a:ext>
          </a:extLst>
        </xdr:cNvPr>
        <xdr:cNvSpPr/>
      </xdr:nvSpPr>
      <xdr:spPr>
        <a:xfrm>
          <a:off x="5280660" y="609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42861</xdr:colOff>
      <xdr:row>21</xdr:row>
      <xdr:rowOff>185737</xdr:rowOff>
    </xdr:from>
    <xdr:to>
      <xdr:col>6</xdr:col>
      <xdr:colOff>619124</xdr:colOff>
      <xdr:row>39</xdr:row>
      <xdr:rowOff>180975</xdr:rowOff>
    </xdr:to>
    <xdr:graphicFrame macro="">
      <xdr:nvGraphicFramePr>
        <xdr:cNvPr id="3" name="Diagramm 2">
          <a:extLst>
            <a:ext uri="{FF2B5EF4-FFF2-40B4-BE49-F238E27FC236}">
              <a16:creationId xmlns:a16="http://schemas.microsoft.com/office/drawing/2014/main" id="{6CA62D06-4B73-43F0-8CAE-1A5F21B7C6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251460</xdr:colOff>
      <xdr:row>0</xdr:row>
      <xdr:rowOff>53340</xdr:rowOff>
    </xdr:from>
    <xdr:to>
      <xdr:col>5</xdr:col>
      <xdr:colOff>594360</xdr:colOff>
      <xdr:row>1</xdr:row>
      <xdr:rowOff>144780</xdr:rowOff>
    </xdr:to>
    <xdr:sp macro="" textlink="">
      <xdr:nvSpPr>
        <xdr:cNvPr id="4" name="Rechteck: abgerundete Ecken 3">
          <a:hlinkClick xmlns:r="http://schemas.openxmlformats.org/officeDocument/2006/relationships" r:id="rId2"/>
          <a:extLst>
            <a:ext uri="{FF2B5EF4-FFF2-40B4-BE49-F238E27FC236}">
              <a16:creationId xmlns:a16="http://schemas.microsoft.com/office/drawing/2014/main" id="{ACF607A9-B202-4ADF-AFFB-79CEA274C8F7}"/>
            </a:ext>
          </a:extLst>
        </xdr:cNvPr>
        <xdr:cNvSpPr/>
      </xdr:nvSpPr>
      <xdr:spPr>
        <a:xfrm>
          <a:off x="4724400" y="533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3</xdr:col>
      <xdr:colOff>213360</xdr:colOff>
      <xdr:row>0</xdr:row>
      <xdr:rowOff>114300</xdr:rowOff>
    </xdr:from>
    <xdr:to>
      <xdr:col>4</xdr:col>
      <xdr:colOff>563880</xdr:colOff>
      <xdr:row>2</xdr:row>
      <xdr:rowOff>22860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A1F97950-806F-4A47-86E8-AFA7927217FD}"/>
            </a:ext>
          </a:extLst>
        </xdr:cNvPr>
        <xdr:cNvSpPr/>
      </xdr:nvSpPr>
      <xdr:spPr>
        <a:xfrm>
          <a:off x="3497580" y="1143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95250</xdr:colOff>
      <xdr:row>29</xdr:row>
      <xdr:rowOff>138112</xdr:rowOff>
    </xdr:from>
    <xdr:to>
      <xdr:col>4</xdr:col>
      <xdr:colOff>600075</xdr:colOff>
      <xdr:row>44</xdr:row>
      <xdr:rowOff>23812</xdr:rowOff>
    </xdr:to>
    <xdr:graphicFrame macro="">
      <xdr:nvGraphicFramePr>
        <xdr:cNvPr id="2" name="Diagramm 1">
          <a:extLst>
            <a:ext uri="{FF2B5EF4-FFF2-40B4-BE49-F238E27FC236}">
              <a16:creationId xmlns:a16="http://schemas.microsoft.com/office/drawing/2014/main" id="{5DDCCA22-3E89-49E2-A839-471B8AEEAD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121920</xdr:colOff>
      <xdr:row>1</xdr:row>
      <xdr:rowOff>7620</xdr:rowOff>
    </xdr:from>
    <xdr:to>
      <xdr:col>4</xdr:col>
      <xdr:colOff>464820</xdr:colOff>
      <xdr:row>3</xdr:row>
      <xdr:rowOff>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B7C2187E-E80B-4618-A1CB-0FE28E07FC3D}"/>
            </a:ext>
          </a:extLst>
        </xdr:cNvPr>
        <xdr:cNvSpPr/>
      </xdr:nvSpPr>
      <xdr:spPr>
        <a:xfrm>
          <a:off x="3520440" y="2743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579120</xdr:colOff>
      <xdr:row>0</xdr:row>
      <xdr:rowOff>137160</xdr:rowOff>
    </xdr:from>
    <xdr:to>
      <xdr:col>5</xdr:col>
      <xdr:colOff>129540</xdr:colOff>
      <xdr:row>2</xdr:row>
      <xdr:rowOff>45720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49FD00B0-A488-4C3A-9EC9-35F9D502176C}"/>
            </a:ext>
          </a:extLst>
        </xdr:cNvPr>
        <xdr:cNvSpPr/>
      </xdr:nvSpPr>
      <xdr:spPr>
        <a:xfrm>
          <a:off x="3764280" y="1371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243839</xdr:colOff>
      <xdr:row>1</xdr:row>
      <xdr:rowOff>137160</xdr:rowOff>
    </xdr:from>
    <xdr:to>
      <xdr:col>5</xdr:col>
      <xdr:colOff>666749</xdr:colOff>
      <xdr:row>3</xdr:row>
      <xdr:rowOff>114300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0D64CB73-23AA-43CC-969E-F10752571483}"/>
            </a:ext>
          </a:extLst>
        </xdr:cNvPr>
        <xdr:cNvSpPr/>
      </xdr:nvSpPr>
      <xdr:spPr>
        <a:xfrm>
          <a:off x="4787264" y="327660"/>
          <a:ext cx="1442085" cy="405765"/>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123825</xdr:colOff>
      <xdr:row>24</xdr:row>
      <xdr:rowOff>119062</xdr:rowOff>
    </xdr:from>
    <xdr:to>
      <xdr:col>7</xdr:col>
      <xdr:colOff>695325</xdr:colOff>
      <xdr:row>41</xdr:row>
      <xdr:rowOff>171450</xdr:rowOff>
    </xdr:to>
    <xdr:graphicFrame macro="">
      <xdr:nvGraphicFramePr>
        <xdr:cNvPr id="2" name="Diagramm 1">
          <a:extLst>
            <a:ext uri="{FF2B5EF4-FFF2-40B4-BE49-F238E27FC236}">
              <a16:creationId xmlns:a16="http://schemas.microsoft.com/office/drawing/2014/main" id="{C5DDC675-4BEB-4D28-9823-08EA86D2D8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152400</xdr:colOff>
      <xdr:row>0</xdr:row>
      <xdr:rowOff>83820</xdr:rowOff>
    </xdr:from>
    <xdr:to>
      <xdr:col>5</xdr:col>
      <xdr:colOff>495300</xdr:colOff>
      <xdr:row>1</xdr:row>
      <xdr:rowOff>175260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F0FE30BA-EF48-4A30-973B-90E1C46A88BB}"/>
            </a:ext>
          </a:extLst>
        </xdr:cNvPr>
        <xdr:cNvSpPr/>
      </xdr:nvSpPr>
      <xdr:spPr>
        <a:xfrm>
          <a:off x="4130040" y="838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265043</xdr:colOff>
      <xdr:row>0</xdr:row>
      <xdr:rowOff>53009</xdr:rowOff>
    </xdr:from>
    <xdr:to>
      <xdr:col>5</xdr:col>
      <xdr:colOff>618545</xdr:colOff>
      <xdr:row>1</xdr:row>
      <xdr:rowOff>146106</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98D11FFC-F447-429F-8939-B386658ADBA2}"/>
            </a:ext>
          </a:extLst>
        </xdr:cNvPr>
        <xdr:cNvSpPr/>
      </xdr:nvSpPr>
      <xdr:spPr>
        <a:xfrm>
          <a:off x="3783495" y="53009"/>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212035</xdr:colOff>
      <xdr:row>0</xdr:row>
      <xdr:rowOff>53009</xdr:rowOff>
    </xdr:from>
    <xdr:to>
      <xdr:col>5</xdr:col>
      <xdr:colOff>565537</xdr:colOff>
      <xdr:row>1</xdr:row>
      <xdr:rowOff>146106</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A1438286-D290-4236-9D9F-3F6DB81E43BB}"/>
            </a:ext>
          </a:extLst>
        </xdr:cNvPr>
        <xdr:cNvSpPr/>
      </xdr:nvSpPr>
      <xdr:spPr>
        <a:xfrm>
          <a:off x="3730487" y="53009"/>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426720</xdr:colOff>
      <xdr:row>0</xdr:row>
      <xdr:rowOff>45720</xdr:rowOff>
    </xdr:from>
    <xdr:to>
      <xdr:col>6</xdr:col>
      <xdr:colOff>563880</xdr:colOff>
      <xdr:row>1</xdr:row>
      <xdr:rowOff>137160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DAB04491-B8E3-4875-9B54-A1788B479E8E}"/>
            </a:ext>
          </a:extLst>
        </xdr:cNvPr>
        <xdr:cNvSpPr/>
      </xdr:nvSpPr>
      <xdr:spPr>
        <a:xfrm>
          <a:off x="4983480" y="457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411480</xdr:colOff>
      <xdr:row>0</xdr:row>
      <xdr:rowOff>53340</xdr:rowOff>
    </xdr:from>
    <xdr:to>
      <xdr:col>6</xdr:col>
      <xdr:colOff>548640</xdr:colOff>
      <xdr:row>1</xdr:row>
      <xdr:rowOff>144780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AD31CA8F-1C2A-45A8-90C3-64AE47DDB803}"/>
            </a:ext>
          </a:extLst>
        </xdr:cNvPr>
        <xdr:cNvSpPr/>
      </xdr:nvSpPr>
      <xdr:spPr>
        <a:xfrm>
          <a:off x="4968240" y="533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525780</xdr:colOff>
      <xdr:row>0</xdr:row>
      <xdr:rowOff>167640</xdr:rowOff>
    </xdr:from>
    <xdr:to>
      <xdr:col>5</xdr:col>
      <xdr:colOff>571500</xdr:colOff>
      <xdr:row>2</xdr:row>
      <xdr:rowOff>76200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382087FF-ED7B-4E4C-80EA-7CE9ACC6C096}"/>
            </a:ext>
          </a:extLst>
        </xdr:cNvPr>
        <xdr:cNvSpPr/>
      </xdr:nvSpPr>
      <xdr:spPr>
        <a:xfrm>
          <a:off x="4122420" y="1676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104775</xdr:colOff>
      <xdr:row>7</xdr:row>
      <xdr:rowOff>142875</xdr:rowOff>
    </xdr:from>
    <xdr:to>
      <xdr:col>13</xdr:col>
      <xdr:colOff>428625</xdr:colOff>
      <xdr:row>23</xdr:row>
      <xdr:rowOff>100012</xdr:rowOff>
    </xdr:to>
    <xdr:graphicFrame macro="">
      <xdr:nvGraphicFramePr>
        <xdr:cNvPr id="2" name="Diagramm 1">
          <a:extLst>
            <a:ext uri="{FF2B5EF4-FFF2-40B4-BE49-F238E27FC236}">
              <a16:creationId xmlns:a16="http://schemas.microsoft.com/office/drawing/2014/main" id="{26D22C22-E2BC-4D75-BF6C-8E2E944325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556260</xdr:colOff>
      <xdr:row>0</xdr:row>
      <xdr:rowOff>182880</xdr:rowOff>
    </xdr:from>
    <xdr:to>
      <xdr:col>5</xdr:col>
      <xdr:colOff>601980</xdr:colOff>
      <xdr:row>2</xdr:row>
      <xdr:rowOff>91440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8C398AD8-7B44-4A7D-AAD2-28D388DF7B95}"/>
            </a:ext>
          </a:extLst>
        </xdr:cNvPr>
        <xdr:cNvSpPr/>
      </xdr:nvSpPr>
      <xdr:spPr>
        <a:xfrm>
          <a:off x="4152900" y="1828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3</xdr:col>
      <xdr:colOff>99060</xdr:colOff>
      <xdr:row>1</xdr:row>
      <xdr:rowOff>30480</xdr:rowOff>
    </xdr:from>
    <xdr:to>
      <xdr:col>4</xdr:col>
      <xdr:colOff>449580</xdr:colOff>
      <xdr:row>3</xdr:row>
      <xdr:rowOff>22860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2FE003E2-9266-48FB-90ED-2351F1C47930}"/>
            </a:ext>
          </a:extLst>
        </xdr:cNvPr>
        <xdr:cNvSpPr/>
      </xdr:nvSpPr>
      <xdr:spPr>
        <a:xfrm>
          <a:off x="3924300" y="2971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204786</xdr:colOff>
      <xdr:row>5</xdr:row>
      <xdr:rowOff>100012</xdr:rowOff>
    </xdr:from>
    <xdr:to>
      <xdr:col>10</xdr:col>
      <xdr:colOff>514349</xdr:colOff>
      <xdr:row>20</xdr:row>
      <xdr:rowOff>9525</xdr:rowOff>
    </xdr:to>
    <xdr:graphicFrame macro="">
      <xdr:nvGraphicFramePr>
        <xdr:cNvPr id="2" name="Diagramm 1">
          <a:extLst>
            <a:ext uri="{FF2B5EF4-FFF2-40B4-BE49-F238E27FC236}">
              <a16:creationId xmlns:a16="http://schemas.microsoft.com/office/drawing/2014/main" id="{72981F60-6AC0-437E-BF63-6786A8B2F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91440</xdr:colOff>
      <xdr:row>1</xdr:row>
      <xdr:rowOff>60960</xdr:rowOff>
    </xdr:from>
    <xdr:to>
      <xdr:col>4</xdr:col>
      <xdr:colOff>441960</xdr:colOff>
      <xdr:row>3</xdr:row>
      <xdr:rowOff>53340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2472AF23-25EA-4B10-A5CD-51BC504D4E19}"/>
            </a:ext>
          </a:extLst>
        </xdr:cNvPr>
        <xdr:cNvSpPr/>
      </xdr:nvSpPr>
      <xdr:spPr>
        <a:xfrm>
          <a:off x="3916680" y="3276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3</xdr:col>
      <xdr:colOff>731520</xdr:colOff>
      <xdr:row>0</xdr:row>
      <xdr:rowOff>205740</xdr:rowOff>
    </xdr:from>
    <xdr:to>
      <xdr:col>4</xdr:col>
      <xdr:colOff>586740</xdr:colOff>
      <xdr:row>2</xdr:row>
      <xdr:rowOff>114300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8DF697E3-F7C5-4717-B2F1-6D7E60F08402}"/>
            </a:ext>
          </a:extLst>
        </xdr:cNvPr>
        <xdr:cNvSpPr/>
      </xdr:nvSpPr>
      <xdr:spPr>
        <a:xfrm>
          <a:off x="4229100" y="2057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342900</xdr:colOff>
      <xdr:row>3</xdr:row>
      <xdr:rowOff>129540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A3C601FB-9084-4315-938C-8629F9A45F09}"/>
            </a:ext>
          </a:extLst>
        </xdr:cNvPr>
        <xdr:cNvSpPr/>
      </xdr:nvSpPr>
      <xdr:spPr>
        <a:xfrm>
          <a:off x="6598920" y="3657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198120</xdr:colOff>
      <xdr:row>0</xdr:row>
      <xdr:rowOff>106680</xdr:rowOff>
    </xdr:from>
    <xdr:to>
      <xdr:col>5</xdr:col>
      <xdr:colOff>266700</xdr:colOff>
      <xdr:row>2</xdr:row>
      <xdr:rowOff>15240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5894DF22-E586-450A-8372-C32E7251C14F}"/>
            </a:ext>
          </a:extLst>
        </xdr:cNvPr>
        <xdr:cNvSpPr/>
      </xdr:nvSpPr>
      <xdr:spPr>
        <a:xfrm>
          <a:off x="4975860" y="10668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3</xdr:col>
      <xdr:colOff>381000</xdr:colOff>
      <xdr:row>0</xdr:row>
      <xdr:rowOff>213360</xdr:rowOff>
    </xdr:from>
    <xdr:to>
      <xdr:col>4</xdr:col>
      <xdr:colOff>7620</xdr:colOff>
      <xdr:row>2</xdr:row>
      <xdr:rowOff>121920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CD096C3B-B7E2-4396-A03C-7E38657F9210}"/>
            </a:ext>
          </a:extLst>
        </xdr:cNvPr>
        <xdr:cNvSpPr/>
      </xdr:nvSpPr>
      <xdr:spPr>
        <a:xfrm>
          <a:off x="4998720" y="2133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0</xdr:colOff>
      <xdr:row>1</xdr:row>
      <xdr:rowOff>15240</xdr:rowOff>
    </xdr:from>
    <xdr:to>
      <xdr:col>3</xdr:col>
      <xdr:colOff>1135380</xdr:colOff>
      <xdr:row>3</xdr:row>
      <xdr:rowOff>7620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BF9A6F17-5108-41D5-96BD-4C50BF4D71E6}"/>
            </a:ext>
          </a:extLst>
        </xdr:cNvPr>
        <xdr:cNvSpPr/>
      </xdr:nvSpPr>
      <xdr:spPr>
        <a:xfrm>
          <a:off x="4625340" y="2819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243840</xdr:colOff>
      <xdr:row>0</xdr:row>
      <xdr:rowOff>243840</xdr:rowOff>
    </xdr:from>
    <xdr:to>
      <xdr:col>5</xdr:col>
      <xdr:colOff>533400</xdr:colOff>
      <xdr:row>2</xdr:row>
      <xdr:rowOff>152400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97E86F67-9578-49CC-B80F-02D56F2C8C66}"/>
            </a:ext>
          </a:extLst>
        </xdr:cNvPr>
        <xdr:cNvSpPr/>
      </xdr:nvSpPr>
      <xdr:spPr>
        <a:xfrm>
          <a:off x="4046220" y="2438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138112</xdr:colOff>
      <xdr:row>26</xdr:row>
      <xdr:rowOff>90487</xdr:rowOff>
    </xdr:from>
    <xdr:to>
      <xdr:col>5</xdr:col>
      <xdr:colOff>195262</xdr:colOff>
      <xdr:row>40</xdr:row>
      <xdr:rowOff>166687</xdr:rowOff>
    </xdr:to>
    <xdr:graphicFrame macro="">
      <xdr:nvGraphicFramePr>
        <xdr:cNvPr id="2" name="Diagramm 1">
          <a:extLst>
            <a:ext uri="{FF2B5EF4-FFF2-40B4-BE49-F238E27FC236}">
              <a16:creationId xmlns:a16="http://schemas.microsoft.com/office/drawing/2014/main" id="{D5B833AC-1758-47C9-8A17-AE436BF719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274320</xdr:colOff>
      <xdr:row>1</xdr:row>
      <xdr:rowOff>0</xdr:rowOff>
    </xdr:from>
    <xdr:to>
      <xdr:col>5</xdr:col>
      <xdr:colOff>563880</xdr:colOff>
      <xdr:row>2</xdr:row>
      <xdr:rowOff>175260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A76FBC24-294F-4F4D-B242-CD14B70A6192}"/>
            </a:ext>
          </a:extLst>
        </xdr:cNvPr>
        <xdr:cNvSpPr/>
      </xdr:nvSpPr>
      <xdr:spPr>
        <a:xfrm>
          <a:off x="4091940" y="2667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3</xdr:col>
      <xdr:colOff>281940</xdr:colOff>
      <xdr:row>0</xdr:row>
      <xdr:rowOff>228600</xdr:rowOff>
    </xdr:from>
    <xdr:to>
      <xdr:col>5</xdr:col>
      <xdr:colOff>129540</xdr:colOff>
      <xdr:row>2</xdr:row>
      <xdr:rowOff>137160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D711BDB0-6AEB-4423-8D8B-2EA454C46C0D}"/>
            </a:ext>
          </a:extLst>
        </xdr:cNvPr>
        <xdr:cNvSpPr/>
      </xdr:nvSpPr>
      <xdr:spPr>
        <a:xfrm>
          <a:off x="4145280" y="2286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123825</xdr:colOff>
      <xdr:row>28</xdr:row>
      <xdr:rowOff>128587</xdr:rowOff>
    </xdr:from>
    <xdr:to>
      <xdr:col>6</xdr:col>
      <xdr:colOff>723900</xdr:colOff>
      <xdr:row>47</xdr:row>
      <xdr:rowOff>47625</xdr:rowOff>
    </xdr:to>
    <xdr:graphicFrame macro="">
      <xdr:nvGraphicFramePr>
        <xdr:cNvPr id="2" name="Diagramm 1">
          <a:extLst>
            <a:ext uri="{FF2B5EF4-FFF2-40B4-BE49-F238E27FC236}">
              <a16:creationId xmlns:a16="http://schemas.microsoft.com/office/drawing/2014/main" id="{F89B17D7-0EC1-4F57-AF75-C344D8948E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304800</xdr:colOff>
      <xdr:row>0</xdr:row>
      <xdr:rowOff>228600</xdr:rowOff>
    </xdr:from>
    <xdr:to>
      <xdr:col>5</xdr:col>
      <xdr:colOff>152400</xdr:colOff>
      <xdr:row>2</xdr:row>
      <xdr:rowOff>137160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E7AEF8E4-6C23-438E-84DF-8C1CF55D38B5}"/>
            </a:ext>
          </a:extLst>
        </xdr:cNvPr>
        <xdr:cNvSpPr/>
      </xdr:nvSpPr>
      <xdr:spPr>
        <a:xfrm>
          <a:off x="4168140" y="2286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4</xdr:col>
      <xdr:colOff>91440</xdr:colOff>
      <xdr:row>0</xdr:row>
      <xdr:rowOff>60960</xdr:rowOff>
    </xdr:from>
    <xdr:to>
      <xdr:col>5</xdr:col>
      <xdr:colOff>441960</xdr:colOff>
      <xdr:row>1</xdr:row>
      <xdr:rowOff>152400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796F61F7-01D1-45D2-92FC-57679719CAAC}"/>
            </a:ext>
          </a:extLst>
        </xdr:cNvPr>
        <xdr:cNvSpPr/>
      </xdr:nvSpPr>
      <xdr:spPr>
        <a:xfrm>
          <a:off x="3688080" y="609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128587</xdr:colOff>
      <xdr:row>33</xdr:row>
      <xdr:rowOff>71437</xdr:rowOff>
    </xdr:from>
    <xdr:to>
      <xdr:col>6</xdr:col>
      <xdr:colOff>590550</xdr:colOff>
      <xdr:row>49</xdr:row>
      <xdr:rowOff>28575</xdr:rowOff>
    </xdr:to>
    <xdr:graphicFrame macro="">
      <xdr:nvGraphicFramePr>
        <xdr:cNvPr id="2" name="Diagramm 1">
          <a:extLst>
            <a:ext uri="{FF2B5EF4-FFF2-40B4-BE49-F238E27FC236}">
              <a16:creationId xmlns:a16="http://schemas.microsoft.com/office/drawing/2014/main" id="{A02FFCD9-A3E4-4C9A-B6F6-F421FB680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220980</xdr:colOff>
      <xdr:row>0</xdr:row>
      <xdr:rowOff>45720</xdr:rowOff>
    </xdr:from>
    <xdr:to>
      <xdr:col>5</xdr:col>
      <xdr:colOff>571500</xdr:colOff>
      <xdr:row>1</xdr:row>
      <xdr:rowOff>137160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7386F4E6-9C6D-43CD-8F17-81F51B0FAF36}"/>
            </a:ext>
          </a:extLst>
        </xdr:cNvPr>
        <xdr:cNvSpPr/>
      </xdr:nvSpPr>
      <xdr:spPr>
        <a:xfrm>
          <a:off x="3817620" y="457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6</xdr:col>
      <xdr:colOff>213360</xdr:colOff>
      <xdr:row>0</xdr:row>
      <xdr:rowOff>129540</xdr:rowOff>
    </xdr:from>
    <xdr:to>
      <xdr:col>7</xdr:col>
      <xdr:colOff>563880</xdr:colOff>
      <xdr:row>2</xdr:row>
      <xdr:rowOff>38100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973A1084-6E85-4E27-B81F-214F53DC65D3}"/>
            </a:ext>
          </a:extLst>
        </xdr:cNvPr>
        <xdr:cNvSpPr/>
      </xdr:nvSpPr>
      <xdr:spPr>
        <a:xfrm>
          <a:off x="5311140" y="12954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342900</xdr:colOff>
      <xdr:row>2</xdr:row>
      <xdr:rowOff>22860</xdr:rowOff>
    </xdr:from>
    <xdr:to>
      <xdr:col>6</xdr:col>
      <xdr:colOff>685800</xdr:colOff>
      <xdr:row>3</xdr:row>
      <xdr:rowOff>152400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54A73AAA-A702-43B0-BA8D-72E00D79EA44}"/>
            </a:ext>
          </a:extLst>
        </xdr:cNvPr>
        <xdr:cNvSpPr/>
      </xdr:nvSpPr>
      <xdr:spPr>
        <a:xfrm>
          <a:off x="4556760" y="3886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5</xdr:col>
      <xdr:colOff>60960</xdr:colOff>
      <xdr:row>0</xdr:row>
      <xdr:rowOff>38100</xdr:rowOff>
    </xdr:from>
    <xdr:to>
      <xdr:col>6</xdr:col>
      <xdr:colOff>137160</xdr:colOff>
      <xdr:row>1</xdr:row>
      <xdr:rowOff>129540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B5434407-A108-4AC8-8EB9-8586E471D36F}"/>
            </a:ext>
          </a:extLst>
        </xdr:cNvPr>
        <xdr:cNvSpPr/>
      </xdr:nvSpPr>
      <xdr:spPr>
        <a:xfrm>
          <a:off x="4373880" y="381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5</xdr:col>
      <xdr:colOff>685800</xdr:colOff>
      <xdr:row>0</xdr:row>
      <xdr:rowOff>175260</xdr:rowOff>
    </xdr:from>
    <xdr:to>
      <xdr:col>6</xdr:col>
      <xdr:colOff>579120</xdr:colOff>
      <xdr:row>2</xdr:row>
      <xdr:rowOff>83820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5E07C2FB-5B98-49E1-A45E-CADA0A6B74BC}"/>
            </a:ext>
          </a:extLst>
        </xdr:cNvPr>
        <xdr:cNvSpPr/>
      </xdr:nvSpPr>
      <xdr:spPr>
        <a:xfrm>
          <a:off x="6614160" y="1752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5</xdr:col>
      <xdr:colOff>678872</xdr:colOff>
      <xdr:row>0</xdr:row>
      <xdr:rowOff>166255</xdr:rowOff>
    </xdr:from>
    <xdr:to>
      <xdr:col>6</xdr:col>
      <xdr:colOff>574270</xdr:colOff>
      <xdr:row>2</xdr:row>
      <xdr:rowOff>74122</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5A0732CB-42DF-4842-983A-447AFC3D2858}"/>
            </a:ext>
          </a:extLst>
        </xdr:cNvPr>
        <xdr:cNvSpPr/>
      </xdr:nvSpPr>
      <xdr:spPr>
        <a:xfrm>
          <a:off x="6615545" y="166255"/>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213360</xdr:colOff>
      <xdr:row>1</xdr:row>
      <xdr:rowOff>45720</xdr:rowOff>
    </xdr:from>
    <xdr:to>
      <xdr:col>4</xdr:col>
      <xdr:colOff>1348740</xdr:colOff>
      <xdr:row>3</xdr:row>
      <xdr:rowOff>30480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7672604C-31A7-402D-AB11-561324ACC067}"/>
            </a:ext>
          </a:extLst>
        </xdr:cNvPr>
        <xdr:cNvSpPr/>
      </xdr:nvSpPr>
      <xdr:spPr>
        <a:xfrm>
          <a:off x="4671060" y="31242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123825</xdr:colOff>
      <xdr:row>2</xdr:row>
      <xdr:rowOff>85725</xdr:rowOff>
    </xdr:from>
    <xdr:to>
      <xdr:col>12</xdr:col>
      <xdr:colOff>533400</xdr:colOff>
      <xdr:row>20</xdr:row>
      <xdr:rowOff>171450</xdr:rowOff>
    </xdr:to>
    <xdr:graphicFrame macro="">
      <xdr:nvGraphicFramePr>
        <xdr:cNvPr id="2" name="Diagramm 1">
          <a:extLst>
            <a:ext uri="{FF2B5EF4-FFF2-40B4-BE49-F238E27FC236}">
              <a16:creationId xmlns:a16="http://schemas.microsoft.com/office/drawing/2014/main" id="{6E678591-3FFC-4A33-92FD-AFA75A91D5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xdr:row>
      <xdr:rowOff>0</xdr:rowOff>
    </xdr:from>
    <xdr:to>
      <xdr:col>4</xdr:col>
      <xdr:colOff>1325880</xdr:colOff>
      <xdr:row>2</xdr:row>
      <xdr:rowOff>175260</xdr:rowOff>
    </xdr:to>
    <xdr:sp macro="" textlink="">
      <xdr:nvSpPr>
        <xdr:cNvPr id="3" name="Rechteck: abgerundete Ecken 2">
          <a:hlinkClick xmlns:r="http://schemas.openxmlformats.org/officeDocument/2006/relationships" r:id="rId2"/>
          <a:extLst>
            <a:ext uri="{FF2B5EF4-FFF2-40B4-BE49-F238E27FC236}">
              <a16:creationId xmlns:a16="http://schemas.microsoft.com/office/drawing/2014/main" id="{A23CCE42-7161-4B10-A20B-54C1E605E7E3}"/>
            </a:ext>
          </a:extLst>
        </xdr:cNvPr>
        <xdr:cNvSpPr/>
      </xdr:nvSpPr>
      <xdr:spPr>
        <a:xfrm>
          <a:off x="4655820" y="26670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114300</xdr:colOff>
      <xdr:row>1</xdr:row>
      <xdr:rowOff>22860</xdr:rowOff>
    </xdr:from>
    <xdr:to>
      <xdr:col>6</xdr:col>
      <xdr:colOff>464820</xdr:colOff>
      <xdr:row>3</xdr:row>
      <xdr:rowOff>15240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EE623AF3-DF6A-4EA2-8276-37C57E893651}"/>
            </a:ext>
          </a:extLst>
        </xdr:cNvPr>
        <xdr:cNvSpPr/>
      </xdr:nvSpPr>
      <xdr:spPr>
        <a:xfrm>
          <a:off x="4511040" y="289560"/>
          <a:ext cx="1135380" cy="358140"/>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 Übersicht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t-in-rechnungswesen.de/lernanwendungen" TargetMode="External"/><Relationship Id="rId1" Type="http://schemas.openxmlformats.org/officeDocument/2006/relationships/hyperlink" Target="http://www.fit-in-rechnungswesen.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1.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2.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3.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44.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P50"/>
  <sheetViews>
    <sheetView showGridLines="0" showRowColHeaders="0" tabSelected="1" zoomScaleNormal="100" workbookViewId="0">
      <selection activeCell="C9" sqref="C9"/>
    </sheetView>
  </sheetViews>
  <sheetFormatPr baseColWidth="10" defaultRowHeight="15" x14ac:dyDescent="0.25"/>
  <cols>
    <col min="1" max="1" width="5" customWidth="1"/>
    <col min="2" max="2" width="51.7109375" customWidth="1"/>
    <col min="3" max="4" width="5.85546875" customWidth="1"/>
    <col min="5" max="5" width="52.5703125" bestFit="1" customWidth="1"/>
    <col min="6" max="6" width="4.28515625" customWidth="1"/>
    <col min="7" max="7" width="56" bestFit="1" customWidth="1"/>
    <col min="8" max="8" width="0" hidden="1" customWidth="1"/>
    <col min="9" max="11" width="11.42578125" hidden="1" customWidth="1"/>
    <col min="12" max="41" width="0" hidden="1" customWidth="1"/>
  </cols>
  <sheetData>
    <row r="2" spans="2:42" ht="28.15" customHeight="1" x14ac:dyDescent="0.25">
      <c r="B2" s="608" t="s">
        <v>1156</v>
      </c>
      <c r="C2" s="602"/>
      <c r="D2" s="602"/>
      <c r="E2" s="602"/>
      <c r="F2" s="602"/>
      <c r="G2" s="602"/>
    </row>
    <row r="3" spans="2:42" ht="15.75" x14ac:dyDescent="0.25">
      <c r="B3" s="144" t="s">
        <v>1157</v>
      </c>
      <c r="E3" s="527" t="s">
        <v>1318</v>
      </c>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row>
    <row r="4" spans="2:42" x14ac:dyDescent="0.25">
      <c r="I4" s="165"/>
    </row>
    <row r="5" spans="2:42" x14ac:dyDescent="0.25">
      <c r="B5" s="10" t="s">
        <v>1158</v>
      </c>
      <c r="E5" s="632" t="s">
        <v>1159</v>
      </c>
      <c r="F5" s="633"/>
      <c r="G5" s="633"/>
      <c r="I5" s="165"/>
    </row>
    <row r="6" spans="2:42" x14ac:dyDescent="0.25">
      <c r="E6" s="633" t="s">
        <v>1183</v>
      </c>
      <c r="F6" s="633"/>
      <c r="G6" s="636" t="str">
        <f>+K6</f>
        <v>Aufgabe 15 - Belegung und Umsätze im Konzertsaal</v>
      </c>
      <c r="I6" t="s">
        <v>1183</v>
      </c>
      <c r="K6" s="597" t="s">
        <v>1198</v>
      </c>
    </row>
    <row r="7" spans="2:42" x14ac:dyDescent="0.25">
      <c r="B7" s="602" t="s">
        <v>1161</v>
      </c>
      <c r="E7" s="634" t="s">
        <v>1267</v>
      </c>
      <c r="F7" s="633"/>
      <c r="G7" s="699" t="str">
        <f t="shared" ref="G7:G46" si="0">+K7</f>
        <v>Einfache Berechnungen, Kreisdiagramm</v>
      </c>
      <c r="I7" s="615" t="s">
        <v>1267</v>
      </c>
      <c r="K7" t="s">
        <v>1199</v>
      </c>
    </row>
    <row r="8" spans="2:42" ht="15.75" x14ac:dyDescent="0.25">
      <c r="B8" s="602" t="s">
        <v>1160</v>
      </c>
      <c r="E8" s="635"/>
      <c r="F8" s="633"/>
      <c r="G8" s="636"/>
      <c r="I8" s="144" t="str">
        <f ca="1">IF(TODAY()&lt;(44438),"","DATEI VERALTET, BITTE AKTUELLE DATEI LADEN über www.fit-in-rechnungswesen.de")</f>
        <v>DATEI VERALTET, BITTE AKTUELLE DATEI LADEN über www.fit-in-rechnungswesen.de</v>
      </c>
    </row>
    <row r="9" spans="2:42" x14ac:dyDescent="0.25">
      <c r="B9" s="602" t="s">
        <v>421</v>
      </c>
      <c r="E9" s="636" t="str">
        <f>+I9</f>
        <v>Aufgabe 1 - Ausbildungskosten im Vergleich</v>
      </c>
      <c r="F9" s="633"/>
      <c r="G9" s="636" t="str">
        <f t="shared" si="0"/>
        <v>Aufgabe 16 - Bilanz- und Renditekennzahlen</v>
      </c>
      <c r="I9" s="597" t="s">
        <v>1163</v>
      </c>
      <c r="K9" s="597" t="s">
        <v>1200</v>
      </c>
    </row>
    <row r="10" spans="2:42" x14ac:dyDescent="0.25">
      <c r="B10" s="602" t="s">
        <v>1250</v>
      </c>
      <c r="E10" s="699" t="str">
        <f t="shared" ref="E10:E49" si="1">+I10</f>
        <v>Einfache Berechnung, Liniendiagramm</v>
      </c>
      <c r="F10" s="633"/>
      <c r="G10" s="699" t="str">
        <f t="shared" si="0"/>
        <v>Berechnungen, Säulendiagramm</v>
      </c>
      <c r="I10" t="s">
        <v>1162</v>
      </c>
      <c r="K10" t="s">
        <v>1177</v>
      </c>
    </row>
    <row r="11" spans="2:42" x14ac:dyDescent="0.25">
      <c r="B11" s="602" t="s">
        <v>422</v>
      </c>
      <c r="E11" s="636"/>
      <c r="F11" s="633"/>
      <c r="G11" s="636"/>
    </row>
    <row r="12" spans="2:42" x14ac:dyDescent="0.25">
      <c r="E12" s="636" t="str">
        <f t="shared" si="1"/>
        <v>Aufgabe 2 - Umsatzstatistik Handelsvertreter</v>
      </c>
      <c r="F12" s="633"/>
      <c r="G12" s="636" t="str">
        <f t="shared" si="0"/>
        <v>Aufgabe 17 - Quartalsumsätze</v>
      </c>
      <c r="I12" s="597" t="s">
        <v>1164</v>
      </c>
      <c r="K12" s="597" t="s">
        <v>1201</v>
      </c>
    </row>
    <row r="13" spans="2:42" x14ac:dyDescent="0.25">
      <c r="B13" t="s">
        <v>1166</v>
      </c>
      <c r="E13" s="699" t="str">
        <f t="shared" si="1"/>
        <v>Einfache Berechnung, Linien- und Kreisdiagramm</v>
      </c>
      <c r="F13" s="633"/>
      <c r="G13" s="699" t="str">
        <f t="shared" si="0"/>
        <v>MIN(), MAX(), MITTELWERT(), Prozentrechnen, Säulendiagramm</v>
      </c>
      <c r="I13" t="s">
        <v>1165</v>
      </c>
      <c r="K13" t="s">
        <v>1202</v>
      </c>
    </row>
    <row r="14" spans="2:42" x14ac:dyDescent="0.25">
      <c r="B14" t="s">
        <v>1167</v>
      </c>
      <c r="E14" s="636"/>
      <c r="F14" s="633"/>
      <c r="G14" s="636"/>
    </row>
    <row r="15" spans="2:42" x14ac:dyDescent="0.25">
      <c r="E15" s="636" t="str">
        <f t="shared" si="1"/>
        <v>Aufgabe 3 - Lohnliste</v>
      </c>
      <c r="F15" s="633"/>
      <c r="G15" s="636" t="str">
        <f t="shared" si="0"/>
        <v>Aufgabe 18 - Angebotsvergleich</v>
      </c>
      <c r="I15" s="597" t="s">
        <v>1171</v>
      </c>
      <c r="K15" s="597" t="s">
        <v>1203</v>
      </c>
    </row>
    <row r="16" spans="2:42" x14ac:dyDescent="0.25">
      <c r="B16" t="s">
        <v>1315</v>
      </c>
      <c r="E16" s="699" t="str">
        <f t="shared" si="1"/>
        <v>Einfache Funktionen, einfache Berechnungen, Säulendiagramm</v>
      </c>
      <c r="F16" s="633"/>
      <c r="G16" s="699" t="str">
        <f t="shared" si="0"/>
        <v>Berechnung, WENN()</v>
      </c>
      <c r="I16" t="s">
        <v>1172</v>
      </c>
      <c r="K16" t="s">
        <v>1204</v>
      </c>
    </row>
    <row r="17" spans="2:11" x14ac:dyDescent="0.25">
      <c r="B17" t="s">
        <v>1168</v>
      </c>
      <c r="E17" s="636"/>
      <c r="F17" s="633"/>
      <c r="G17" s="636"/>
    </row>
    <row r="18" spans="2:11" x14ac:dyDescent="0.25">
      <c r="B18" t="s">
        <v>1169</v>
      </c>
      <c r="E18" s="636" t="str">
        <f t="shared" si="1"/>
        <v>Aufgabe 4 - Angebotsvergleich (quantitativ)</v>
      </c>
      <c r="F18" s="633"/>
      <c r="G18" s="636" t="str">
        <f t="shared" si="0"/>
        <v>Aufgabe 19 - ABC-Analyse</v>
      </c>
      <c r="I18" s="597" t="s">
        <v>1173</v>
      </c>
      <c r="K18" s="597" t="s">
        <v>1205</v>
      </c>
    </row>
    <row r="19" spans="2:11" x14ac:dyDescent="0.25">
      <c r="B19" t="s">
        <v>1170</v>
      </c>
      <c r="E19" s="699" t="str">
        <f t="shared" si="1"/>
        <v>Einfache Berechnung, Linien- und Kreisdiagramm</v>
      </c>
      <c r="F19" s="633"/>
      <c r="G19" s="699" t="str">
        <f t="shared" si="0"/>
        <v>Berechnungen, WENN()-Verschachtelung</v>
      </c>
      <c r="I19" t="s">
        <v>1165</v>
      </c>
      <c r="K19" t="s">
        <v>1206</v>
      </c>
    </row>
    <row r="20" spans="2:11" x14ac:dyDescent="0.25">
      <c r="E20" s="636"/>
      <c r="F20" s="633"/>
      <c r="G20" s="636"/>
    </row>
    <row r="21" spans="2:11" x14ac:dyDescent="0.25">
      <c r="B21" s="10" t="s">
        <v>1263</v>
      </c>
      <c r="E21" s="636" t="str">
        <f t="shared" si="1"/>
        <v>Aufgabe 5 - Angebotsvergleich (qualitativ)</v>
      </c>
      <c r="F21" s="633"/>
      <c r="G21" s="636" t="str">
        <f t="shared" si="0"/>
        <v>Aufgabe 20 - Eigenfertigung oder Fremdbezug (make or buy)</v>
      </c>
      <c r="I21" s="597" t="s">
        <v>1174</v>
      </c>
      <c r="K21" s="597" t="s">
        <v>1207</v>
      </c>
    </row>
    <row r="22" spans="2:11" x14ac:dyDescent="0.25">
      <c r="B22" s="629" t="s">
        <v>1261</v>
      </c>
      <c r="E22" s="699" t="str">
        <f t="shared" si="1"/>
        <v>Berechnungen, Säulendiagramm</v>
      </c>
      <c r="F22" s="633"/>
      <c r="G22" s="699" t="str">
        <f t="shared" si="0"/>
        <v>Einfache Berechnung, Liniendiagramm</v>
      </c>
      <c r="I22" t="s">
        <v>1177</v>
      </c>
      <c r="K22" t="s">
        <v>1162</v>
      </c>
    </row>
    <row r="23" spans="2:11" x14ac:dyDescent="0.25">
      <c r="B23" s="629" t="s">
        <v>1262</v>
      </c>
      <c r="E23" s="636"/>
      <c r="F23" s="633"/>
      <c r="G23" s="636"/>
    </row>
    <row r="24" spans="2:11" x14ac:dyDescent="0.25">
      <c r="B24" s="154" t="s">
        <v>1264</v>
      </c>
      <c r="E24" s="636" t="str">
        <f t="shared" si="1"/>
        <v>Aufgabe 6 - Kostenübersicht/-entwicklung</v>
      </c>
      <c r="F24" s="633"/>
      <c r="G24" s="636" t="str">
        <f t="shared" si="0"/>
        <v>Aufgabe 21 - Handelskalkulation</v>
      </c>
      <c r="I24" s="597" t="s">
        <v>1175</v>
      </c>
      <c r="K24" s="597" t="s">
        <v>1208</v>
      </c>
    </row>
    <row r="25" spans="2:11" x14ac:dyDescent="0.25">
      <c r="B25" s="154" t="s">
        <v>1265</v>
      </c>
      <c r="E25" s="699" t="str">
        <f t="shared" si="1"/>
        <v>Einfache Funktionen, Prozentrechnen, Säulendiagramm</v>
      </c>
      <c r="F25" s="633"/>
      <c r="G25" s="699" t="str">
        <f t="shared" si="0"/>
        <v>Berechnungen, Kreisdiagramm</v>
      </c>
      <c r="I25" t="s">
        <v>1176</v>
      </c>
      <c r="K25" t="s">
        <v>1209</v>
      </c>
    </row>
    <row r="26" spans="2:11" x14ac:dyDescent="0.25">
      <c r="B26" s="154" t="s">
        <v>1266</v>
      </c>
      <c r="E26" s="636"/>
      <c r="F26" s="633"/>
      <c r="G26" s="636"/>
    </row>
    <row r="27" spans="2:11" x14ac:dyDescent="0.25">
      <c r="B27" s="154" t="s">
        <v>1270</v>
      </c>
      <c r="E27" s="636" t="str">
        <f t="shared" si="1"/>
        <v>Aufgabe 7 - Private Einnahmen und Ausgaben</v>
      </c>
      <c r="F27" s="633"/>
      <c r="G27" s="636" t="str">
        <f t="shared" si="0"/>
        <v>Aufgabe 22 - Optimale Bestellmenge</v>
      </c>
      <c r="I27" s="597" t="s">
        <v>1184</v>
      </c>
      <c r="K27" s="597" t="s">
        <v>1210</v>
      </c>
    </row>
    <row r="28" spans="2:11" x14ac:dyDescent="0.25">
      <c r="B28" s="154" t="s">
        <v>1271</v>
      </c>
      <c r="E28" s="699" t="str">
        <f t="shared" si="1"/>
        <v>Einfache Berechnung, Formatierung</v>
      </c>
      <c r="F28" s="633"/>
      <c r="G28" s="699" t="str">
        <f t="shared" si="0"/>
        <v>Berechnungen, WENN()-Verschachtelung, SVERWEIS()</v>
      </c>
      <c r="I28" t="s">
        <v>1179</v>
      </c>
      <c r="K28" t="s">
        <v>1211</v>
      </c>
    </row>
    <row r="29" spans="2:11" x14ac:dyDescent="0.25">
      <c r="E29" s="636"/>
      <c r="F29" s="633"/>
      <c r="G29" s="636"/>
    </row>
    <row r="30" spans="2:11" x14ac:dyDescent="0.25">
      <c r="B30" s="630" t="s">
        <v>1310</v>
      </c>
      <c r="E30" s="636" t="str">
        <f t="shared" si="1"/>
        <v>Aufgabe 8 - Entwicklung der Investitionen</v>
      </c>
      <c r="F30" s="633"/>
      <c r="G30" s="636" t="str">
        <f t="shared" si="0"/>
        <v>Aufgabe 23 - Kostevergleich Einstellung - Personalleasing</v>
      </c>
      <c r="I30" s="597" t="s">
        <v>1185</v>
      </c>
      <c r="K30" s="597" t="s">
        <v>1217</v>
      </c>
    </row>
    <row r="31" spans="2:11" x14ac:dyDescent="0.25">
      <c r="B31" s="630" t="s">
        <v>1311</v>
      </c>
      <c r="E31" s="699" t="str">
        <f t="shared" si="1"/>
        <v>Einfache Berechnung, Kreisdiagramm</v>
      </c>
      <c r="F31" s="633"/>
      <c r="G31" s="699" t="str">
        <f t="shared" si="0"/>
        <v>Berechnungen</v>
      </c>
      <c r="I31" t="s">
        <v>1180</v>
      </c>
      <c r="K31" s="225" t="s">
        <v>1218</v>
      </c>
    </row>
    <row r="32" spans="2:11" x14ac:dyDescent="0.25">
      <c r="B32" s="630" t="s">
        <v>1312</v>
      </c>
      <c r="E32" s="636"/>
      <c r="F32" s="633"/>
      <c r="G32" s="636"/>
      <c r="K32" s="225"/>
    </row>
    <row r="33" spans="2:11" x14ac:dyDescent="0.25">
      <c r="B33" s="631" t="s">
        <v>1313</v>
      </c>
      <c r="E33" s="636" t="str">
        <f t="shared" si="1"/>
        <v>Aufgabe 9 - Artikeldatei</v>
      </c>
      <c r="F33" s="633"/>
      <c r="G33" s="636" t="str">
        <f t="shared" si="0"/>
        <v>Aufgabe 24 - Gewinnverteilung Kommantitgesellschaft (KG)</v>
      </c>
      <c r="I33" s="597" t="s">
        <v>1181</v>
      </c>
      <c r="K33" s="597" t="s">
        <v>1223</v>
      </c>
    </row>
    <row r="34" spans="2:11" x14ac:dyDescent="0.25">
      <c r="B34" s="631" t="s">
        <v>1316</v>
      </c>
      <c r="E34" s="699" t="str">
        <f t="shared" si="1"/>
        <v>WENN(), Filter, Sortierung</v>
      </c>
      <c r="F34" s="633"/>
      <c r="G34" s="699" t="str">
        <f t="shared" si="0"/>
        <v>Berechnungen, Kreisdiagramm</v>
      </c>
      <c r="I34" t="s">
        <v>1182</v>
      </c>
      <c r="K34" s="225" t="s">
        <v>1209</v>
      </c>
    </row>
    <row r="35" spans="2:11" x14ac:dyDescent="0.25">
      <c r="B35" s="637" t="s">
        <v>1317</v>
      </c>
      <c r="E35" s="636"/>
      <c r="F35" s="633"/>
      <c r="G35" s="636"/>
      <c r="K35" s="225"/>
    </row>
    <row r="36" spans="2:11" x14ac:dyDescent="0.25">
      <c r="B36" s="631"/>
      <c r="E36" s="636" t="str">
        <f t="shared" si="1"/>
        <v>Aufgabe 10 - Berechnung Prämien- und Akkordlohn</v>
      </c>
      <c r="F36" s="633"/>
      <c r="G36" s="636" t="str">
        <f t="shared" si="0"/>
        <v>Aufgabe 25 - Provisionsberechnung Außendienst</v>
      </c>
      <c r="I36" s="597" t="s">
        <v>1189</v>
      </c>
      <c r="K36" s="597" t="s">
        <v>1224</v>
      </c>
    </row>
    <row r="37" spans="2:11" x14ac:dyDescent="0.25">
      <c r="E37" s="699" t="str">
        <f t="shared" si="1"/>
        <v>Einfache Berechnung, WENN(), RANG(), Säulendiagramm</v>
      </c>
      <c r="F37" s="633"/>
      <c r="G37" s="699" t="str">
        <f t="shared" si="0"/>
        <v>Einfache Berechnungen, SVERWEIS(), Balkendiagramm</v>
      </c>
      <c r="I37" t="s">
        <v>1190</v>
      </c>
      <c r="K37" s="225" t="s">
        <v>1219</v>
      </c>
    </row>
    <row r="38" spans="2:11" x14ac:dyDescent="0.25">
      <c r="E38" s="636"/>
      <c r="F38" s="633"/>
      <c r="G38" s="636"/>
      <c r="K38" s="225"/>
    </row>
    <row r="39" spans="2:11" x14ac:dyDescent="0.25">
      <c r="E39" s="636" t="str">
        <f t="shared" si="1"/>
        <v>Aufgabe 11 - Berechnung Handelsspanne</v>
      </c>
      <c r="F39" s="633"/>
      <c r="G39" s="636" t="str">
        <f t="shared" si="0"/>
        <v>Aufgabe 26 - Nutzenschwelle/Gewinnschwelle/break-even-point</v>
      </c>
      <c r="I39" s="597" t="s">
        <v>1191</v>
      </c>
      <c r="K39" s="597" t="s">
        <v>1225</v>
      </c>
    </row>
    <row r="40" spans="2:11" x14ac:dyDescent="0.25">
      <c r="E40" s="699" t="str">
        <f t="shared" si="1"/>
        <v>Berechnungen, MIN(), MAX(), MITTELWERT(), Balkendiagramm</v>
      </c>
      <c r="F40" s="633"/>
      <c r="G40" s="699" t="str">
        <f t="shared" si="0"/>
        <v>Berechnungen, Liniendiagramm</v>
      </c>
      <c r="I40" t="s">
        <v>1192</v>
      </c>
      <c r="K40" s="225" t="s">
        <v>1220</v>
      </c>
    </row>
    <row r="41" spans="2:11" x14ac:dyDescent="0.25">
      <c r="E41" s="636"/>
      <c r="F41" s="633"/>
      <c r="G41" s="636"/>
      <c r="K41" s="225"/>
    </row>
    <row r="42" spans="2:11" x14ac:dyDescent="0.25">
      <c r="E42" s="636" t="str">
        <f t="shared" si="1"/>
        <v>Aufgabe 12 - Inventar</v>
      </c>
      <c r="F42" s="633"/>
      <c r="G42" s="636" t="str">
        <f t="shared" si="0"/>
        <v>Aufgabe 27 - Mahnwesen - Zahlungseingangskontrolle</v>
      </c>
      <c r="I42" s="597" t="s">
        <v>1193</v>
      </c>
      <c r="K42" s="597" t="s">
        <v>1226</v>
      </c>
    </row>
    <row r="43" spans="2:11" x14ac:dyDescent="0.25">
      <c r="E43" s="699" t="str">
        <f t="shared" si="1"/>
        <v>Einfache Berechnungen</v>
      </c>
      <c r="F43" s="633"/>
      <c r="G43" s="699" t="str">
        <f t="shared" si="0"/>
        <v>Einfache Berechnung, Kreisdiagramm</v>
      </c>
      <c r="I43" t="s">
        <v>1194</v>
      </c>
      <c r="K43" s="225" t="s">
        <v>1180</v>
      </c>
    </row>
    <row r="44" spans="2:11" x14ac:dyDescent="0.25">
      <c r="E44" s="636"/>
      <c r="F44" s="633"/>
      <c r="G44" s="636"/>
      <c r="K44" s="225"/>
    </row>
    <row r="45" spans="2:11" x14ac:dyDescent="0.25">
      <c r="E45" s="636" t="str">
        <f t="shared" si="1"/>
        <v>Aufgabe 13 - Absatz- und Umsatzzahlen</v>
      </c>
      <c r="F45" s="633"/>
      <c r="G45" s="636" t="str">
        <f t="shared" si="0"/>
        <v>Aufgabe 28 - Fehlzeitenübersicht</v>
      </c>
      <c r="I45" s="597" t="s">
        <v>1195</v>
      </c>
      <c r="K45" s="597" t="s">
        <v>1227</v>
      </c>
    </row>
    <row r="46" spans="2:11" x14ac:dyDescent="0.25">
      <c r="E46" s="699" t="str">
        <f t="shared" si="1"/>
        <v>Einfache Berechnungen, Säulendiagramm</v>
      </c>
      <c r="F46" s="633"/>
      <c r="G46" s="699" t="str">
        <f t="shared" si="0"/>
        <v>Berechnungen, SVERWEIS()</v>
      </c>
      <c r="I46" t="s">
        <v>1196</v>
      </c>
      <c r="K46" s="225" t="s">
        <v>1222</v>
      </c>
    </row>
    <row r="47" spans="2:11" x14ac:dyDescent="0.25">
      <c r="E47" s="636"/>
      <c r="F47" s="633"/>
      <c r="G47" s="633"/>
    </row>
    <row r="48" spans="2:11" x14ac:dyDescent="0.25">
      <c r="E48" s="636" t="str">
        <f t="shared" si="1"/>
        <v>Aufgabe 14 - Überstunden pro Mitarbeiter je Abteilung</v>
      </c>
      <c r="F48" s="633"/>
      <c r="G48" s="633"/>
      <c r="I48" s="597" t="s">
        <v>1197</v>
      </c>
    </row>
    <row r="49" spans="5:9" x14ac:dyDescent="0.25">
      <c r="E49" s="699" t="str">
        <f t="shared" si="1"/>
        <v>Einfache Berechnung, Liniendiagramm</v>
      </c>
      <c r="F49" s="633"/>
      <c r="G49" s="633"/>
      <c r="I49" t="s">
        <v>1162</v>
      </c>
    </row>
    <row r="50" spans="5:9" x14ac:dyDescent="0.25">
      <c r="E50" s="633"/>
      <c r="F50" s="633"/>
      <c r="G50" s="633"/>
    </row>
  </sheetData>
  <hyperlinks>
    <hyperlink ref="E9" location="'Aufgabe 1'!A1" display="'Aufgabe 1'!A1" xr:uid="{00000000-0004-0000-0000-000000000000}"/>
    <hyperlink ref="B7" location="'SUM,MAX,MIN,%'!A1" display="SUMME(), MAX(), MIN(), MITTELWERT(), Prozentrechnen" xr:uid="{00000000-0004-0000-0000-00001C000000}"/>
    <hyperlink ref="B8" location="WENN!A1" display="WENN()-Funktion, SUMMEWENN(), ZÄHLENWENN()" xr:uid="{00000000-0004-0000-0000-00001D000000}"/>
    <hyperlink ref="B9" location="SVERWEIS!A1" display="SVERWEIS()" xr:uid="{00000000-0004-0000-0000-00001E000000}"/>
    <hyperlink ref="B10" location="UND_ODER!A1" display="UND_ODER-Funktion" xr:uid="{00000000-0004-0000-0000-00001F000000}"/>
    <hyperlink ref="B11" location="Rang!A1" display="RANG()" xr:uid="{00000000-0004-0000-0000-000020000000}"/>
    <hyperlink ref="B2:G2" r:id="rId1" display="Danke, dass Du den Excel-Trainer benutzt. Wenn Du ihn nützlich findest, freuen wir uns über ein LIKE der Seite www.fit-in-rechnungswesen.de" xr:uid="{00000000-0004-0000-0000-000021000000}"/>
    <hyperlink ref="I9" location="'Aufgabe 1'!A1" display="Aufgabe 1 - Ausbildungskosten im Vergleich" xr:uid="{A16BD58A-BD05-48ED-818D-79872444DFA0}"/>
    <hyperlink ref="I12" location="'Aufgabe 2'!A1" display="Aufgabe 2 - Umsatzstatistik Handelsvertreter" xr:uid="{DDCBE35F-9101-40AF-90D1-F1D3435D2F22}"/>
    <hyperlink ref="I15" location="'Aufgabe 3'!A1" display="Aufgabe 3 - Lohnliste" xr:uid="{272170DC-975E-4E12-9388-921158E941D1}"/>
    <hyperlink ref="I18" location="'Aufgabe 4'!A1" display="Aufgabe 4 - Angebotsvergleich (quantitativ)" xr:uid="{57480B3D-1530-473C-8D0E-FFBAA8B60951}"/>
    <hyperlink ref="I21" location="'Aufgabe 5'!A1" display="Aufgabe 5 - Angebotsvergleich (qualitativ)" xr:uid="{151C94FB-EDF3-4269-A5A3-3D36B4AA969A}"/>
    <hyperlink ref="I24" location="'Aufgabe 6'!A1" display="Aufgabe 6 - Kostenübersicht/-entwicklung" xr:uid="{436138B7-9A81-4AD0-8502-BD20BA1A4A03}"/>
    <hyperlink ref="I27" location="'Aufgabe 7'!A1" display="Aufgabe 7 - Private Einnahmen und Ausgaben" xr:uid="{C068D0F1-7ED6-4299-B26D-518A58D75D72}"/>
    <hyperlink ref="I30" location="'Aufgabe  8'!A1" display="Aufgabe 8 - Entwicklung der Investitionen" xr:uid="{0FE08E14-4805-44F0-8EB9-AAE49C8A9060}"/>
    <hyperlink ref="I33" location="'Aufgabe 9'!A1" display="Aufgabe 9 - Artikeldatei" xr:uid="{76EF5ED0-7E73-47D7-B33B-66BDA15BC023}"/>
    <hyperlink ref="I36" location="'Aufgabe 10'!A1" display="Aufgabe 10 - Berechnung Prämien- und Akkordlohn" xr:uid="{8B69613A-CCC2-4558-BDDA-0DE9A5F92B87}"/>
    <hyperlink ref="I39" location="'Aufgabe 11'!A1" display="Aufgabe 11 - Berechnung Handelsspanne" xr:uid="{3453AE4E-373B-408A-9211-CCDE781872F2}"/>
    <hyperlink ref="I42" location="'Aufgabe 12'!A1" display="Aufgabe 12 - Inventar" xr:uid="{5C322206-E867-4FAD-BFA1-6332A20B337B}"/>
    <hyperlink ref="I45" location="'Aufgabe 13'!A1" display="Aufgabe 13 - Absatz- und Umsatzzahlen" xr:uid="{A1BD7C87-300E-4FBC-9516-07F066D3FFB5}"/>
    <hyperlink ref="I48" location="'Aufgabe 14'!A1" display="Aufgabe 14 - Überstunden pro Mitarbeiter je Abteilung" xr:uid="{D31FC4A4-AAAC-4F7B-ABDE-1757A08F1DE0}"/>
    <hyperlink ref="K6" location="'Aufgabe 15'!A1" display="Aufgabe 15 - Belegung und Umsätze im Konzertsaal" xr:uid="{AAE814B3-9393-4DDA-A909-55EF833585EA}"/>
    <hyperlink ref="K9" location="'Aufgabe 16'!A1" display="Aufgabe 16 - Bilanz- und Renditekennzahlen" xr:uid="{DFDEBDF5-58E7-48E1-9755-9D5BC37A5C3A}"/>
    <hyperlink ref="K12" location="'Aufgabe 17'!A1" display="Aufgabe 17 - Quartalsumsätze" xr:uid="{0A0FCDCD-C737-4008-8B13-86D35F952C0D}"/>
    <hyperlink ref="K15" location="'Aufgabe 18'!A1" display="Aufgabe 18 - Angebotsvergleich" xr:uid="{CEB7A482-E50A-427C-81B9-150828DAD448}"/>
    <hyperlink ref="K18" location="'Aufgabe 19'!A1" display="Aufgabe 19 - ABC-Analyse" xr:uid="{D6AFA653-14C6-49AA-B9D6-71409B5261E4}"/>
    <hyperlink ref="K21" location="'Aufgabe 20'!A1" display="Aufgabe 20 - Eigenfertigung oder Fremdbezug (make or buy)" xr:uid="{F6AC4579-8C7D-4A18-A081-8B399828B005}"/>
    <hyperlink ref="K24" location="'Aufgabe 21'!A1" display="Aufgabe 21 - Handelskalkulation" xr:uid="{FD7AE12E-5AA3-4CD7-B7C6-B5899076E920}"/>
    <hyperlink ref="K27" location="'Aufgabe 22'!A1" display="Aufgabe 22 - Optimale Bestellmenge" xr:uid="{783E5DE4-86DE-49AE-B5EF-ACDEC7AB8A0C}"/>
    <hyperlink ref="K30" location="'Aufgabe 23'!A1" display="Aufgabe 23 - Kostevergleich Einstellung - Personalleasing" xr:uid="{725520BB-5878-4870-98F1-FD008105FD09}"/>
    <hyperlink ref="K33" location="'Aufgabe 24'!A1" display="Aufgabe 24 - Gewinnverteilung Kommantitgesellschaft (KG)" xr:uid="{581A5DD2-4634-40D0-8BC8-DBCA6B405588}"/>
    <hyperlink ref="K36" location="'Aufgabe 25'!A1" display="Aufgabe 25 - Provisionsberechnung Außendienst" xr:uid="{A7833DF8-C490-4140-A5F4-1793D594E280}"/>
    <hyperlink ref="K39" location="'Aufgabe 26'!A1" display="Aufgabe 26 - Nutzenschwelle/Gewinnschwelle/break-even-point" xr:uid="{A0CD31DC-88FA-484E-AA77-924D6E4BDD37}"/>
    <hyperlink ref="K42" location="'Aufgabe 27'!A1" display="Aufgabe 27 - Mahnwesen - Zahlungseingangskontrolle" xr:uid="{D2BD61CA-F378-4135-A47D-1C1F3519EEDC}"/>
    <hyperlink ref="K45" location="'Aufgabe 28'!A1" display="Aufgabe 28 - Fehlzeitenübersicht" xr:uid="{F3C9714F-E1BE-4C0C-BA80-2B7E04C23821}"/>
    <hyperlink ref="G6" location="'Aufgabe 15'!A1" display="'Aufgabe 15'!A1" xr:uid="{C5FB4672-7232-4D05-9B28-34539AD3B939}"/>
    <hyperlink ref="B35" r:id="rId2" xr:uid="{C07566CB-9C48-4AD0-B824-30B129BDAD8A}"/>
    <hyperlink ref="E12" location="'Aufgabe 2'!A1" display="'Aufgabe 2'!A1" xr:uid="{D31ED665-ED58-404E-9955-8D7FBB4A25AE}"/>
    <hyperlink ref="E15" location="'Aufgabe 3'!A1" display="'Aufgabe 3'!A1" xr:uid="{DB30FA0B-F14F-4BA9-8A34-7692C8F3906F}"/>
    <hyperlink ref="E18" location="'Aufgabe 4'!A1" display="'Aufgabe 4'!A1" xr:uid="{B2981D8E-8DA9-4C1A-8BF8-C9D9251153D5}"/>
    <hyperlink ref="E21" location="'Aufgabe 5'!A1" display="'Aufgabe 5'!A1" xr:uid="{501A3715-B327-443E-A816-27DBC124BC85}"/>
    <hyperlink ref="E24" location="'Aufgabe 6'!A1" display="'Aufgabe 6'!A1" xr:uid="{54A49CFF-6D95-4284-A463-DB2F1451F774}"/>
    <hyperlink ref="E27" location="'Aufgabe 7'!A1" display="'Aufgabe 7'!A1" xr:uid="{533740A4-422E-4F42-B266-54E5C83830BD}"/>
    <hyperlink ref="E30" location="'Aufgabe  8'!A1" display="'Aufgabe  8'!A1" xr:uid="{B401E181-D6E0-45DC-B797-107483640870}"/>
    <hyperlink ref="E33" location="'Aufgabe 9'!A1" display="'Aufgabe 9'!A1" xr:uid="{74F3488D-2074-41AD-BCF6-F4D8F82ECE41}"/>
    <hyperlink ref="E36" location="'Aufgabe 10'!A1" display="'Aufgabe 10'!A1" xr:uid="{3A10269E-19E4-47A9-A660-606834345811}"/>
    <hyperlink ref="E39" location="'Aufgabe 11'!A1" display="'Aufgabe 11'!A1" xr:uid="{0DA7A27F-9789-4485-A57E-D718D308C1E6}"/>
    <hyperlink ref="E42" location="'Aufgabe 12'!A1" display="'Aufgabe 12'!A1" xr:uid="{9B431031-32B7-4861-B45E-25825C36D41A}"/>
    <hyperlink ref="E45" location="'Aufgabe 13'!A1" display="'Aufgabe 13'!A1" xr:uid="{32CF5C0A-DDA9-4E56-9B5B-A9A454B16856}"/>
    <hyperlink ref="E48" location="'Aufgabe 14'!A1" display="'Aufgabe 14'!A1" xr:uid="{D4088B95-3748-4165-9675-67022448CB46}"/>
    <hyperlink ref="G9" location="'Aufgabe 16'!A1" display="'Aufgabe 16'!A1" xr:uid="{E273D796-39BC-4B57-B7D0-88E5BC165D1A}"/>
    <hyperlink ref="G12" location="'Aufgabe 17'!A1" display="'Aufgabe 17'!A1" xr:uid="{18503C9A-9C34-4E60-A0C9-FBA5EDEB1F01}"/>
    <hyperlink ref="G15" location="'Aufgabe 18'!A1" display="'Aufgabe 18'!A1" xr:uid="{7D50F063-9B1E-4157-825D-F0040147C732}"/>
    <hyperlink ref="G18" location="'Aufgabe 19'!A1" display="'Aufgabe 19'!A1" xr:uid="{160231C3-20EB-4247-9A4B-62F4F38E7C84}"/>
    <hyperlink ref="G21" location="'Aufgabe 20'!A1" display="'Aufgabe 20'!A1" xr:uid="{AE35B4A8-9176-44AF-BDDC-44CC2A5F4754}"/>
    <hyperlink ref="G24" location="'Aufgabe 21'!A1" display="'Aufgabe 21'!A1" xr:uid="{EDD7491D-F0A9-4B8D-8828-FCBE9A9DF5C1}"/>
    <hyperlink ref="G27" location="'Aufgabe 22'!A1" display="'Aufgabe 22'!A1" xr:uid="{321103BF-267F-4649-B237-072090B58C40}"/>
    <hyperlink ref="G30" location="'Aufgabe 23'!A1" display="'Aufgabe 23'!A1" xr:uid="{F20537FE-CA97-40F7-B0A8-C8E3F5BD3C34}"/>
    <hyperlink ref="G33" location="'Aufgabe 24'!A1" display="'Aufgabe 24'!A1" xr:uid="{1E0EAAEA-F91B-46C5-9738-3B7E1751AC7D}"/>
    <hyperlink ref="G36" location="'Aufgabe 25'!A1" display="'Aufgabe 25'!A1" xr:uid="{B3044F2F-0F9D-43ED-A871-18A0DA124024}"/>
    <hyperlink ref="G39" location="'Aufgabe 26'!A1" display="'Aufgabe 26'!A1" xr:uid="{A6AD06B3-2101-4E91-9205-360140D19BCB}"/>
    <hyperlink ref="G42" location="'Aufgabe 27'!A1" display="'Aufgabe 27'!A1" xr:uid="{1ABBE3C3-627A-4E87-BE5F-09094755C530}"/>
    <hyperlink ref="G45" location="'Aufgabe 28'!A1" display="'Aufgabe 28'!A1" xr:uid="{8675FED4-E7E5-4DBD-8977-5600BD58C9DD}"/>
  </hyperlinks>
  <pageMargins left="0.7" right="0.7" top="0.78740157499999996" bottom="0.78740157499999996" header="0.3" footer="0.3"/>
  <pageSetup paperSize="9" scale="66"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8"/>
  <sheetViews>
    <sheetView zoomScaleNormal="100" workbookViewId="0"/>
  </sheetViews>
  <sheetFormatPr baseColWidth="10" defaultColWidth="11.42578125" defaultRowHeight="15" x14ac:dyDescent="0.25"/>
  <cols>
    <col min="1" max="1" width="18.28515625" customWidth="1"/>
  </cols>
  <sheetData>
    <row r="1" spans="1:7" ht="21" x14ac:dyDescent="0.35">
      <c r="A1" s="162" t="s">
        <v>22</v>
      </c>
      <c r="C1" s="618" t="s">
        <v>1301</v>
      </c>
      <c r="D1" s="615"/>
      <c r="E1" s="615"/>
    </row>
    <row r="3" spans="1:7" x14ac:dyDescent="0.25">
      <c r="A3" s="300" t="s">
        <v>44</v>
      </c>
    </row>
    <row r="5" spans="1:7" x14ac:dyDescent="0.25">
      <c r="A5" s="203"/>
      <c r="B5" s="255" t="s">
        <v>23</v>
      </c>
      <c r="C5" s="255" t="s">
        <v>24</v>
      </c>
      <c r="D5" s="255" t="s">
        <v>25</v>
      </c>
      <c r="E5" s="255" t="s">
        <v>26</v>
      </c>
      <c r="F5" s="255" t="s">
        <v>27</v>
      </c>
      <c r="G5" s="255" t="s">
        <v>28</v>
      </c>
    </row>
    <row r="6" spans="1:7" x14ac:dyDescent="0.25">
      <c r="A6" s="203" t="s">
        <v>39</v>
      </c>
      <c r="B6">
        <v>2872831</v>
      </c>
      <c r="C6">
        <v>2948294</v>
      </c>
      <c r="D6">
        <v>3279155</v>
      </c>
      <c r="E6">
        <v>3184625</v>
      </c>
      <c r="F6">
        <v>3154602</v>
      </c>
      <c r="G6">
        <v>3001845</v>
      </c>
    </row>
    <row r="7" spans="1:7" x14ac:dyDescent="0.25">
      <c r="A7" s="203" t="s">
        <v>40</v>
      </c>
      <c r="B7">
        <v>3212475</v>
      </c>
      <c r="C7">
        <v>3311514</v>
      </c>
      <c r="D7">
        <v>3410653</v>
      </c>
      <c r="E7">
        <v>3344547</v>
      </c>
      <c r="F7">
        <v>3515781</v>
      </c>
      <c r="G7">
        <v>3619860</v>
      </c>
    </row>
    <row r="8" spans="1:7" x14ac:dyDescent="0.25">
      <c r="A8" s="203" t="s">
        <v>41</v>
      </c>
      <c r="B8">
        <v>3160582</v>
      </c>
      <c r="C8">
        <v>3309405</v>
      </c>
      <c r="D8">
        <v>3318076</v>
      </c>
      <c r="E8">
        <v>3547121</v>
      </c>
      <c r="F8">
        <v>3477885</v>
      </c>
      <c r="G8">
        <v>3804094</v>
      </c>
    </row>
    <row r="9" spans="1:7" x14ac:dyDescent="0.25">
      <c r="A9" s="203" t="s">
        <v>42</v>
      </c>
      <c r="B9">
        <v>2743925</v>
      </c>
      <c r="C9">
        <v>2864248</v>
      </c>
      <c r="D9">
        <v>3258506</v>
      </c>
      <c r="E9">
        <v>3560590</v>
      </c>
      <c r="F9">
        <v>3710748</v>
      </c>
      <c r="G9">
        <v>4320081</v>
      </c>
    </row>
    <row r="10" spans="1:7" x14ac:dyDescent="0.25">
      <c r="A10" s="203" t="s">
        <v>43</v>
      </c>
      <c r="B10">
        <v>3068604</v>
      </c>
      <c r="C10">
        <v>3033772</v>
      </c>
      <c r="D10">
        <v>2984282</v>
      </c>
      <c r="E10">
        <v>2872343</v>
      </c>
      <c r="F10">
        <v>2787211</v>
      </c>
      <c r="G10">
        <v>2556196</v>
      </c>
    </row>
    <row r="13" spans="1:7" ht="33" customHeight="1" x14ac:dyDescent="0.25">
      <c r="A13" s="646" t="s">
        <v>666</v>
      </c>
      <c r="B13" s="646"/>
      <c r="C13" s="646"/>
      <c r="D13" s="646"/>
      <c r="E13" s="646"/>
      <c r="F13" s="646"/>
      <c r="G13" s="646"/>
    </row>
    <row r="14" spans="1:7" ht="29.25" customHeight="1" x14ac:dyDescent="0.25">
      <c r="A14" s="646" t="s">
        <v>665</v>
      </c>
      <c r="B14" s="646"/>
      <c r="C14" s="646"/>
      <c r="D14" s="646"/>
      <c r="E14" s="646"/>
      <c r="F14" s="646"/>
      <c r="G14" s="646"/>
    </row>
    <row r="15" spans="1:7" ht="15" customHeight="1" x14ac:dyDescent="0.25">
      <c r="A15" s="646" t="s">
        <v>680</v>
      </c>
      <c r="B15" s="646"/>
      <c r="C15" s="646"/>
      <c r="D15" s="646"/>
      <c r="E15" s="646"/>
      <c r="F15" s="646"/>
      <c r="G15" s="646"/>
    </row>
    <row r="16" spans="1:7" x14ac:dyDescent="0.25">
      <c r="A16" s="646" t="s">
        <v>675</v>
      </c>
      <c r="B16" s="646"/>
      <c r="C16" s="646"/>
      <c r="D16" s="646"/>
      <c r="E16" s="646"/>
      <c r="F16" s="646"/>
      <c r="G16" s="646"/>
    </row>
    <row r="17" spans="1:7" x14ac:dyDescent="0.25">
      <c r="A17" s="646" t="s">
        <v>676</v>
      </c>
      <c r="B17" s="646"/>
      <c r="C17" s="646"/>
      <c r="D17" s="646"/>
      <c r="E17" s="646"/>
      <c r="F17" s="646"/>
      <c r="G17" s="646"/>
    </row>
    <row r="18" spans="1:7" x14ac:dyDescent="0.25">
      <c r="A18" s="92" t="s">
        <v>677</v>
      </c>
      <c r="B18" s="161"/>
      <c r="C18" s="161"/>
      <c r="D18" s="161"/>
      <c r="E18" s="161"/>
      <c r="F18" s="161"/>
      <c r="G18" s="161"/>
    </row>
    <row r="19" spans="1:7" x14ac:dyDescent="0.25">
      <c r="A19" s="645" t="s">
        <v>37</v>
      </c>
      <c r="B19" s="645"/>
      <c r="C19" s="645"/>
      <c r="D19" s="645"/>
      <c r="E19" s="645"/>
      <c r="F19" s="645"/>
      <c r="G19" s="645"/>
    </row>
    <row r="20" spans="1:7" x14ac:dyDescent="0.25">
      <c r="A20" s="645" t="s">
        <v>36</v>
      </c>
      <c r="B20" s="645"/>
      <c r="C20" s="645"/>
      <c r="D20" s="645"/>
      <c r="E20" s="645"/>
      <c r="F20" s="645"/>
      <c r="G20" s="645"/>
    </row>
    <row r="21" spans="1:7" x14ac:dyDescent="0.25">
      <c r="A21" s="645" t="s">
        <v>35</v>
      </c>
      <c r="B21" s="645"/>
      <c r="C21" s="645"/>
      <c r="D21" s="645"/>
      <c r="E21" s="645"/>
      <c r="F21" s="645"/>
      <c r="G21" s="645"/>
    </row>
    <row r="22" spans="1:7" x14ac:dyDescent="0.25">
      <c r="A22" s="645" t="s">
        <v>34</v>
      </c>
      <c r="B22" s="645"/>
      <c r="C22" s="645"/>
      <c r="D22" s="645"/>
      <c r="E22" s="645"/>
      <c r="F22" s="645"/>
      <c r="G22" s="645"/>
    </row>
    <row r="23" spans="1:7" ht="30.75" customHeight="1" x14ac:dyDescent="0.25">
      <c r="A23" s="645" t="s">
        <v>679</v>
      </c>
      <c r="B23" s="645"/>
      <c r="C23" s="645"/>
      <c r="D23" s="645"/>
      <c r="E23" s="645"/>
      <c r="F23" s="645"/>
      <c r="G23" s="645"/>
    </row>
    <row r="24" spans="1:7" x14ac:dyDescent="0.25">
      <c r="A24" s="161"/>
      <c r="B24" s="161"/>
      <c r="C24" s="161"/>
      <c r="D24" s="161"/>
      <c r="E24" s="161"/>
      <c r="F24" s="161"/>
      <c r="G24" s="161"/>
    </row>
    <row r="25" spans="1:7" x14ac:dyDescent="0.25">
      <c r="A25" s="92" t="s">
        <v>31</v>
      </c>
      <c r="B25" s="161"/>
      <c r="C25" s="161"/>
      <c r="D25" s="161"/>
      <c r="E25" s="161"/>
      <c r="F25" s="161"/>
      <c r="G25" s="161"/>
    </row>
    <row r="26" spans="1:7" ht="30" customHeight="1" x14ac:dyDescent="0.25">
      <c r="A26" s="645" t="s">
        <v>32</v>
      </c>
      <c r="B26" s="645"/>
      <c r="C26" s="645"/>
      <c r="D26" s="645"/>
      <c r="E26" s="645"/>
      <c r="F26" s="645"/>
      <c r="G26" s="645"/>
    </row>
    <row r="27" spans="1:7" x14ac:dyDescent="0.25">
      <c r="A27" s="645" t="s">
        <v>38</v>
      </c>
      <c r="B27" s="645"/>
      <c r="C27" s="645"/>
      <c r="D27" s="645"/>
      <c r="E27" s="645"/>
      <c r="F27" s="645"/>
      <c r="G27" s="645"/>
    </row>
    <row r="28" spans="1:7" ht="30.75" customHeight="1" x14ac:dyDescent="0.25">
      <c r="A28" s="645" t="s">
        <v>33</v>
      </c>
      <c r="B28" s="645"/>
      <c r="C28" s="645"/>
      <c r="D28" s="645"/>
      <c r="E28" s="645"/>
      <c r="F28" s="645"/>
      <c r="G28" s="645"/>
    </row>
  </sheetData>
  <mergeCells count="13">
    <mergeCell ref="A28:G28"/>
    <mergeCell ref="A27:G27"/>
    <mergeCell ref="A13:G13"/>
    <mergeCell ref="A14:G14"/>
    <mergeCell ref="A15:G15"/>
    <mergeCell ref="A16:G16"/>
    <mergeCell ref="A17:G17"/>
    <mergeCell ref="A19:G19"/>
    <mergeCell ref="A20:G20"/>
    <mergeCell ref="A21:G21"/>
    <mergeCell ref="A22:G22"/>
    <mergeCell ref="A23:G23"/>
    <mergeCell ref="A26:G26"/>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1"/>
  <sheetViews>
    <sheetView workbookViewId="0">
      <selection activeCell="H17" sqref="H17"/>
    </sheetView>
  </sheetViews>
  <sheetFormatPr baseColWidth="10" defaultRowHeight="15" x14ac:dyDescent="0.25"/>
  <cols>
    <col min="1" max="1" width="18.28515625" customWidth="1"/>
    <col min="2" max="8" width="15.5703125" customWidth="1"/>
  </cols>
  <sheetData>
    <row r="1" spans="1:8" ht="21" x14ac:dyDescent="0.35">
      <c r="A1" s="162" t="s">
        <v>22</v>
      </c>
      <c r="B1" s="615" t="s">
        <v>1269</v>
      </c>
      <c r="C1" s="619"/>
    </row>
    <row r="3" spans="1:8" x14ac:dyDescent="0.25">
      <c r="A3" s="300" t="s">
        <v>44</v>
      </c>
    </row>
    <row r="5" spans="1:8" x14ac:dyDescent="0.25">
      <c r="A5" s="12"/>
      <c r="B5" s="303" t="s">
        <v>23</v>
      </c>
      <c r="C5" s="303" t="s">
        <v>24</v>
      </c>
      <c r="D5" s="303" t="s">
        <v>25</v>
      </c>
      <c r="E5" s="303" t="s">
        <v>26</v>
      </c>
      <c r="F5" s="303" t="s">
        <v>27</v>
      </c>
      <c r="G5" s="303" t="s">
        <v>28</v>
      </c>
      <c r="H5" s="303" t="s">
        <v>45</v>
      </c>
    </row>
    <row r="6" spans="1:8" x14ac:dyDescent="0.25">
      <c r="A6" s="13" t="s">
        <v>39</v>
      </c>
      <c r="B6" s="304">
        <v>2872831</v>
      </c>
      <c r="C6" s="304">
        <v>2948294</v>
      </c>
      <c r="D6" s="304">
        <v>3279155</v>
      </c>
      <c r="E6" s="304">
        <v>3184625</v>
      </c>
      <c r="F6" s="304">
        <v>3154602</v>
      </c>
      <c r="G6" s="304">
        <v>3001845</v>
      </c>
      <c r="H6" s="302">
        <f>SUM(B6:G6)</f>
        <v>18441352</v>
      </c>
    </row>
    <row r="7" spans="1:8" x14ac:dyDescent="0.25">
      <c r="A7" s="13" t="s">
        <v>40</v>
      </c>
      <c r="B7" s="304">
        <v>3212475</v>
      </c>
      <c r="C7" s="304">
        <v>3311514</v>
      </c>
      <c r="D7" s="304">
        <v>3410653</v>
      </c>
      <c r="E7" s="304">
        <v>3344547</v>
      </c>
      <c r="F7" s="304">
        <v>3515781</v>
      </c>
      <c r="G7" s="304">
        <v>3619860</v>
      </c>
      <c r="H7" s="302">
        <f t="shared" ref="H7:H10" si="0">SUM(B7:G7)</f>
        <v>20414830</v>
      </c>
    </row>
    <row r="8" spans="1:8" x14ac:dyDescent="0.25">
      <c r="A8" s="13" t="s">
        <v>41</v>
      </c>
      <c r="B8" s="304">
        <v>3160582</v>
      </c>
      <c r="C8" s="304">
        <v>3309405</v>
      </c>
      <c r="D8" s="304">
        <v>3318076</v>
      </c>
      <c r="E8" s="304">
        <v>3547121</v>
      </c>
      <c r="F8" s="304">
        <v>3477885</v>
      </c>
      <c r="G8" s="304">
        <v>3804094</v>
      </c>
      <c r="H8" s="302">
        <f t="shared" si="0"/>
        <v>20617163</v>
      </c>
    </row>
    <row r="9" spans="1:8" x14ac:dyDescent="0.25">
      <c r="A9" s="13" t="s">
        <v>42</v>
      </c>
      <c r="B9" s="304">
        <v>2743925</v>
      </c>
      <c r="C9" s="304">
        <v>2864248</v>
      </c>
      <c r="D9" s="304">
        <v>3258506</v>
      </c>
      <c r="E9" s="304">
        <v>3560590</v>
      </c>
      <c r="F9" s="304">
        <v>3710748</v>
      </c>
      <c r="G9" s="304">
        <v>4320081</v>
      </c>
      <c r="H9" s="302">
        <f t="shared" si="0"/>
        <v>20458098</v>
      </c>
    </row>
    <row r="10" spans="1:8" x14ac:dyDescent="0.25">
      <c r="A10" s="13" t="s">
        <v>43</v>
      </c>
      <c r="B10" s="304">
        <v>3068604</v>
      </c>
      <c r="C10" s="304">
        <v>3033772</v>
      </c>
      <c r="D10" s="304">
        <v>2984282</v>
      </c>
      <c r="E10" s="304">
        <v>2872343</v>
      </c>
      <c r="F10" s="304">
        <v>2787211</v>
      </c>
      <c r="G10" s="304">
        <v>2556196</v>
      </c>
      <c r="H10" s="302">
        <f t="shared" si="0"/>
        <v>17302408</v>
      </c>
    </row>
    <row r="11" spans="1:8" x14ac:dyDescent="0.25">
      <c r="A11" s="14" t="s">
        <v>46</v>
      </c>
      <c r="B11" s="302">
        <f>SUM(B6:B10)</f>
        <v>15058417</v>
      </c>
      <c r="C11" s="302">
        <f t="shared" ref="C11:G11" si="1">SUM(C6:C10)</f>
        <v>15467233</v>
      </c>
      <c r="D11" s="302">
        <f t="shared" si="1"/>
        <v>16250672</v>
      </c>
      <c r="E11" s="302">
        <f t="shared" si="1"/>
        <v>16509226</v>
      </c>
      <c r="F11" s="302">
        <f t="shared" si="1"/>
        <v>16646227</v>
      </c>
      <c r="G11" s="302">
        <f t="shared" si="1"/>
        <v>17302076</v>
      </c>
      <c r="H11" s="302"/>
    </row>
    <row r="14" spans="1:8" ht="30" customHeight="1" x14ac:dyDescent="0.25">
      <c r="A14" s="646" t="s">
        <v>29</v>
      </c>
      <c r="B14" s="646"/>
      <c r="C14" s="646"/>
      <c r="D14" s="646"/>
      <c r="E14" s="646"/>
      <c r="F14" s="646"/>
      <c r="G14" s="646"/>
    </row>
    <row r="15" spans="1:8" x14ac:dyDescent="0.25">
      <c r="A15" s="646" t="s">
        <v>30</v>
      </c>
      <c r="B15" s="646"/>
      <c r="C15" s="646"/>
      <c r="D15" s="646"/>
      <c r="E15" s="646"/>
      <c r="F15" s="646"/>
      <c r="G15" s="646"/>
    </row>
    <row r="16" spans="1:8" x14ac:dyDescent="0.25">
      <c r="A16" s="646" t="s">
        <v>680</v>
      </c>
      <c r="B16" s="646"/>
      <c r="C16" s="646"/>
      <c r="D16" s="646"/>
      <c r="E16" s="646"/>
      <c r="F16" s="646"/>
      <c r="G16" s="646"/>
    </row>
    <row r="17" spans="1:7" ht="15" customHeight="1" x14ac:dyDescent="0.25">
      <c r="A17" s="646" t="s">
        <v>675</v>
      </c>
      <c r="B17" s="646"/>
      <c r="C17" s="646"/>
      <c r="D17" s="646"/>
      <c r="E17" s="646"/>
      <c r="F17" s="646"/>
      <c r="G17" s="646"/>
    </row>
    <row r="18" spans="1:7" ht="15" customHeight="1" x14ac:dyDescent="0.25">
      <c r="A18" s="646" t="s">
        <v>676</v>
      </c>
      <c r="B18" s="646"/>
      <c r="C18" s="646"/>
      <c r="D18" s="646"/>
      <c r="E18" s="646"/>
      <c r="F18" s="646"/>
      <c r="G18" s="646"/>
    </row>
    <row r="19" spans="1:7" x14ac:dyDescent="0.25">
      <c r="A19" s="92" t="s">
        <v>677</v>
      </c>
      <c r="B19" s="161"/>
      <c r="C19" s="161"/>
      <c r="D19" s="161"/>
      <c r="E19" s="161"/>
      <c r="F19" s="161"/>
      <c r="G19" s="161"/>
    </row>
    <row r="20" spans="1:7" ht="15" customHeight="1" x14ac:dyDescent="0.25">
      <c r="A20" s="645" t="s">
        <v>37</v>
      </c>
      <c r="B20" s="645"/>
      <c r="C20" s="645"/>
      <c r="D20" s="645"/>
      <c r="E20" s="645"/>
      <c r="F20" s="645"/>
      <c r="G20" s="645"/>
    </row>
    <row r="21" spans="1:7" ht="15" customHeight="1" x14ac:dyDescent="0.25">
      <c r="A21" s="645" t="s">
        <v>36</v>
      </c>
      <c r="B21" s="645"/>
      <c r="C21" s="645"/>
      <c r="D21" s="645"/>
      <c r="E21" s="645"/>
      <c r="F21" s="645"/>
      <c r="G21" s="645"/>
    </row>
    <row r="22" spans="1:7" ht="15" customHeight="1" x14ac:dyDescent="0.25">
      <c r="A22" s="645" t="s">
        <v>35</v>
      </c>
      <c r="B22" s="645"/>
      <c r="C22" s="645"/>
      <c r="D22" s="645"/>
      <c r="E22" s="645"/>
      <c r="F22" s="645"/>
      <c r="G22" s="645"/>
    </row>
    <row r="23" spans="1:7" ht="15" customHeight="1" x14ac:dyDescent="0.25">
      <c r="A23" s="645" t="s">
        <v>34</v>
      </c>
      <c r="B23" s="645"/>
      <c r="C23" s="645"/>
      <c r="D23" s="645"/>
      <c r="E23" s="645"/>
      <c r="F23" s="645"/>
      <c r="G23" s="645"/>
    </row>
    <row r="24" spans="1:7" x14ac:dyDescent="0.25">
      <c r="A24" s="645" t="s">
        <v>678</v>
      </c>
      <c r="B24" s="645"/>
      <c r="C24" s="645"/>
      <c r="D24" s="645"/>
      <c r="E24" s="645"/>
      <c r="F24" s="645"/>
      <c r="G24" s="645"/>
    </row>
    <row r="25" spans="1:7" x14ac:dyDescent="0.25">
      <c r="A25" s="161"/>
      <c r="B25" s="161"/>
      <c r="C25" s="161"/>
      <c r="D25" s="161"/>
      <c r="E25" s="161"/>
      <c r="F25" s="161"/>
      <c r="G25" s="161"/>
    </row>
    <row r="26" spans="1:7" x14ac:dyDescent="0.25">
      <c r="A26" s="92" t="s">
        <v>31</v>
      </c>
      <c r="B26" s="161"/>
      <c r="C26" s="161"/>
      <c r="D26" s="161"/>
      <c r="E26" s="161"/>
      <c r="F26" s="161"/>
      <c r="G26" s="161"/>
    </row>
    <row r="27" spans="1:7" ht="30" customHeight="1" x14ac:dyDescent="0.25">
      <c r="A27" s="645" t="s">
        <v>32</v>
      </c>
      <c r="B27" s="645"/>
      <c r="C27" s="645"/>
      <c r="D27" s="645"/>
      <c r="E27" s="645"/>
      <c r="F27" s="645"/>
      <c r="G27" s="645"/>
    </row>
    <row r="28" spans="1:7" ht="15" customHeight="1" x14ac:dyDescent="0.25">
      <c r="A28" s="645" t="s">
        <v>38</v>
      </c>
      <c r="B28" s="645"/>
      <c r="C28" s="645"/>
      <c r="D28" s="645"/>
      <c r="E28" s="645"/>
      <c r="F28" s="645"/>
      <c r="G28" s="645"/>
    </row>
    <row r="29" spans="1:7" ht="15" customHeight="1" x14ac:dyDescent="0.25">
      <c r="A29" s="645" t="s">
        <v>33</v>
      </c>
      <c r="B29" s="645"/>
      <c r="C29" s="645"/>
      <c r="D29" s="645"/>
      <c r="E29" s="645"/>
      <c r="F29" s="645"/>
      <c r="G29" s="645"/>
    </row>
    <row r="31" spans="1:7" x14ac:dyDescent="0.25">
      <c r="A31" s="154" t="s">
        <v>51</v>
      </c>
    </row>
    <row r="32" spans="1:7" x14ac:dyDescent="0.25">
      <c r="A32" s="93" t="s">
        <v>50</v>
      </c>
    </row>
    <row r="33" spans="1:5" x14ac:dyDescent="0.25">
      <c r="A33" s="93" t="s">
        <v>47</v>
      </c>
    </row>
    <row r="34" spans="1:5" x14ac:dyDescent="0.25">
      <c r="A34" s="93" t="s">
        <v>48</v>
      </c>
    </row>
    <row r="35" spans="1:5" x14ac:dyDescent="0.25">
      <c r="A35" s="93" t="s">
        <v>49</v>
      </c>
    </row>
    <row r="41" spans="1:5" x14ac:dyDescent="0.25">
      <c r="E41" s="10"/>
    </row>
    <row r="42" spans="1:5" x14ac:dyDescent="0.25">
      <c r="E42" s="9"/>
    </row>
    <row r="43" spans="1:5" x14ac:dyDescent="0.25">
      <c r="E43" s="9"/>
    </row>
    <row r="44" spans="1:5" x14ac:dyDescent="0.25">
      <c r="E44" s="9"/>
    </row>
    <row r="45" spans="1:5" x14ac:dyDescent="0.25">
      <c r="E45" s="9"/>
    </row>
    <row r="46" spans="1:5" x14ac:dyDescent="0.25">
      <c r="E46" s="9"/>
    </row>
    <row r="48" spans="1:5" x14ac:dyDescent="0.25">
      <c r="E48" s="10"/>
    </row>
    <row r="49" spans="5:5" x14ac:dyDescent="0.25">
      <c r="E49" s="9"/>
    </row>
    <row r="50" spans="5:5" x14ac:dyDescent="0.25">
      <c r="E50" s="9"/>
    </row>
    <row r="51" spans="5:5" x14ac:dyDescent="0.25">
      <c r="E51" s="9"/>
    </row>
  </sheetData>
  <mergeCells count="13">
    <mergeCell ref="A20:G20"/>
    <mergeCell ref="A14:G14"/>
    <mergeCell ref="A15:G15"/>
    <mergeCell ref="A16:G16"/>
    <mergeCell ref="A17:G17"/>
    <mergeCell ref="A18:G18"/>
    <mergeCell ref="A29:G29"/>
    <mergeCell ref="A21:G21"/>
    <mergeCell ref="A22:G22"/>
    <mergeCell ref="A23:G23"/>
    <mergeCell ref="A24:G24"/>
    <mergeCell ref="A27:G27"/>
    <mergeCell ref="A28:G28"/>
  </mergeCell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40"/>
  <sheetViews>
    <sheetView zoomScaleNormal="100" workbookViewId="0"/>
  </sheetViews>
  <sheetFormatPr baseColWidth="10" defaultColWidth="11.42578125" defaultRowHeight="15" x14ac:dyDescent="0.25"/>
  <cols>
    <col min="1" max="1" width="23.5703125" customWidth="1"/>
    <col min="2" max="5" width="18.42578125" customWidth="1"/>
    <col min="6" max="6" width="16.85546875" customWidth="1"/>
    <col min="7" max="8" width="18.42578125" customWidth="1"/>
  </cols>
  <sheetData>
    <row r="1" spans="1:9" ht="21" x14ac:dyDescent="0.35">
      <c r="A1" s="162" t="s">
        <v>52</v>
      </c>
      <c r="B1" s="618" t="s">
        <v>1301</v>
      </c>
      <c r="C1" s="615"/>
    </row>
    <row r="3" spans="1:9" x14ac:dyDescent="0.25">
      <c r="A3" s="300" t="s">
        <v>681</v>
      </c>
    </row>
    <row r="5" spans="1:9" ht="36.75" customHeight="1" x14ac:dyDescent="0.25">
      <c r="A5" s="305" t="s">
        <v>53</v>
      </c>
      <c r="B5" s="306" t="s">
        <v>54</v>
      </c>
      <c r="C5" s="306" t="s">
        <v>55</v>
      </c>
      <c r="D5" s="306" t="s">
        <v>56</v>
      </c>
      <c r="E5" s="306" t="s">
        <v>57</v>
      </c>
      <c r="F5" s="306" t="s">
        <v>58</v>
      </c>
      <c r="G5" s="306" t="s">
        <v>59</v>
      </c>
      <c r="H5" s="306" t="s">
        <v>60</v>
      </c>
    </row>
    <row r="6" spans="1:9" x14ac:dyDescent="0.25">
      <c r="A6" s="33" t="s">
        <v>207</v>
      </c>
      <c r="B6" s="273">
        <v>13.5</v>
      </c>
      <c r="C6" s="274">
        <v>40</v>
      </c>
      <c r="D6" s="273"/>
      <c r="E6" s="273"/>
      <c r="F6" s="274">
        <v>17</v>
      </c>
      <c r="G6" s="273"/>
      <c r="H6" s="275"/>
      <c r="I6" s="310"/>
    </row>
    <row r="7" spans="1:9" x14ac:dyDescent="0.25">
      <c r="A7" s="33" t="s">
        <v>208</v>
      </c>
      <c r="B7" s="273">
        <v>10.1</v>
      </c>
      <c r="C7" s="274">
        <v>40</v>
      </c>
      <c r="D7" s="273"/>
      <c r="E7" s="273"/>
      <c r="F7" s="274">
        <v>12</v>
      </c>
      <c r="G7" s="273"/>
      <c r="H7" s="275"/>
      <c r="I7" s="310"/>
    </row>
    <row r="8" spans="1:9" x14ac:dyDescent="0.25">
      <c r="A8" s="33" t="s">
        <v>209</v>
      </c>
      <c r="B8" s="273">
        <v>13.7</v>
      </c>
      <c r="C8" s="274">
        <v>40</v>
      </c>
      <c r="D8" s="273"/>
      <c r="E8" s="273"/>
      <c r="F8" s="274">
        <v>10</v>
      </c>
      <c r="G8" s="273"/>
      <c r="H8" s="275"/>
      <c r="I8" s="310"/>
    </row>
    <row r="9" spans="1:9" x14ac:dyDescent="0.25">
      <c r="A9" s="33" t="s">
        <v>221</v>
      </c>
      <c r="B9" s="273">
        <v>12.8</v>
      </c>
      <c r="C9" s="274">
        <v>40</v>
      </c>
      <c r="D9" s="273"/>
      <c r="E9" s="273"/>
      <c r="F9" s="274">
        <v>11</v>
      </c>
      <c r="G9" s="273"/>
      <c r="H9" s="275"/>
      <c r="I9" s="310"/>
    </row>
    <row r="10" spans="1:9" x14ac:dyDescent="0.25">
      <c r="A10" s="33" t="s">
        <v>222</v>
      </c>
      <c r="B10" s="273">
        <v>12</v>
      </c>
      <c r="C10" s="274">
        <v>40</v>
      </c>
      <c r="D10" s="273"/>
      <c r="E10" s="273"/>
      <c r="F10" s="274">
        <v>13</v>
      </c>
      <c r="G10" s="273"/>
      <c r="H10" s="275"/>
      <c r="I10" s="310"/>
    </row>
    <row r="11" spans="1:9" x14ac:dyDescent="0.25">
      <c r="A11" s="33" t="s">
        <v>223</v>
      </c>
      <c r="B11" s="273">
        <v>11.8</v>
      </c>
      <c r="C11" s="274">
        <v>40</v>
      </c>
      <c r="D11" s="275"/>
      <c r="E11" s="275"/>
      <c r="F11" s="276">
        <v>14</v>
      </c>
      <c r="G11" s="275"/>
      <c r="H11" s="275"/>
      <c r="I11" s="310"/>
    </row>
    <row r="12" spans="1:9" x14ac:dyDescent="0.25">
      <c r="A12" s="33" t="s">
        <v>214</v>
      </c>
      <c r="B12" s="273">
        <v>12</v>
      </c>
      <c r="C12" s="274">
        <v>40</v>
      </c>
      <c r="D12" s="275"/>
      <c r="E12" s="275"/>
      <c r="F12" s="276">
        <v>5</v>
      </c>
      <c r="G12" s="275"/>
      <c r="H12" s="275"/>
      <c r="I12" s="310"/>
    </row>
    <row r="13" spans="1:9" x14ac:dyDescent="0.25">
      <c r="A13" s="33" t="s">
        <v>224</v>
      </c>
      <c r="B13" s="273">
        <v>10.1</v>
      </c>
      <c r="C13" s="274">
        <v>40</v>
      </c>
      <c r="D13" s="275"/>
      <c r="E13" s="275"/>
      <c r="F13" s="276">
        <v>10</v>
      </c>
      <c r="G13" s="275"/>
      <c r="H13" s="275"/>
      <c r="I13" s="310"/>
    </row>
    <row r="14" spans="1:9" x14ac:dyDescent="0.25">
      <c r="A14" s="33" t="s">
        <v>212</v>
      </c>
      <c r="B14" s="273">
        <v>12.799999999999999</v>
      </c>
      <c r="C14" s="274">
        <v>40</v>
      </c>
      <c r="D14" s="275"/>
      <c r="E14" s="275"/>
      <c r="F14" s="276">
        <v>4</v>
      </c>
      <c r="G14" s="275"/>
      <c r="H14" s="275"/>
      <c r="I14" s="310"/>
    </row>
    <row r="15" spans="1:9" x14ac:dyDescent="0.25">
      <c r="A15" s="33" t="s">
        <v>213</v>
      </c>
      <c r="B15" s="273">
        <v>14.6</v>
      </c>
      <c r="C15" s="274">
        <v>40</v>
      </c>
      <c r="D15" s="275"/>
      <c r="E15" s="275"/>
      <c r="F15" s="276">
        <v>3</v>
      </c>
      <c r="G15" s="275"/>
      <c r="H15" s="275"/>
      <c r="I15" s="310"/>
    </row>
    <row r="16" spans="1:9" x14ac:dyDescent="0.25">
      <c r="A16" s="33" t="s">
        <v>216</v>
      </c>
      <c r="B16" s="273">
        <v>14.799999999999999</v>
      </c>
      <c r="C16" s="274">
        <v>40</v>
      </c>
      <c r="D16" s="275"/>
      <c r="E16" s="275"/>
      <c r="F16" s="276">
        <v>6</v>
      </c>
      <c r="G16" s="275"/>
      <c r="H16" s="275"/>
      <c r="I16" s="310"/>
    </row>
    <row r="17" spans="1:9" x14ac:dyDescent="0.25">
      <c r="A17" s="33" t="s">
        <v>217</v>
      </c>
      <c r="B17" s="273">
        <v>15.6</v>
      </c>
      <c r="C17" s="274">
        <v>40</v>
      </c>
      <c r="D17" s="275"/>
      <c r="E17" s="275"/>
      <c r="F17" s="276">
        <v>5</v>
      </c>
      <c r="G17" s="275"/>
      <c r="H17" s="275"/>
      <c r="I17" s="310"/>
    </row>
    <row r="18" spans="1:9" x14ac:dyDescent="0.25">
      <c r="A18" s="33" t="s">
        <v>218</v>
      </c>
      <c r="B18" s="273">
        <v>12.2</v>
      </c>
      <c r="C18" s="274">
        <v>40</v>
      </c>
      <c r="D18" s="275"/>
      <c r="E18" s="275"/>
      <c r="F18" s="276">
        <v>15</v>
      </c>
      <c r="G18" s="275"/>
      <c r="H18" s="275"/>
      <c r="I18" s="310"/>
    </row>
    <row r="19" spans="1:9" x14ac:dyDescent="0.25">
      <c r="A19" s="33" t="s">
        <v>219</v>
      </c>
      <c r="B19" s="273">
        <v>14.6</v>
      </c>
      <c r="C19" s="274">
        <v>40</v>
      </c>
      <c r="D19" s="275"/>
      <c r="E19" s="275"/>
      <c r="F19" s="276">
        <v>9</v>
      </c>
      <c r="G19" s="275"/>
      <c r="H19" s="275"/>
      <c r="I19" s="310"/>
    </row>
    <row r="20" spans="1:9" x14ac:dyDescent="0.25">
      <c r="A20" s="33" t="s">
        <v>220</v>
      </c>
      <c r="B20" s="273">
        <v>14.799999999999999</v>
      </c>
      <c r="C20" s="274">
        <v>40</v>
      </c>
      <c r="D20" s="275"/>
      <c r="E20" s="275"/>
      <c r="F20" s="276">
        <v>9</v>
      </c>
      <c r="G20" s="275"/>
      <c r="H20" s="275"/>
      <c r="I20" s="310"/>
    </row>
    <row r="21" spans="1:9" x14ac:dyDescent="0.25">
      <c r="A21" s="33" t="s">
        <v>215</v>
      </c>
      <c r="B21" s="273">
        <v>15.6</v>
      </c>
      <c r="C21" s="274">
        <v>40</v>
      </c>
      <c r="D21" s="275"/>
      <c r="E21" s="275"/>
      <c r="F21" s="276">
        <v>5</v>
      </c>
      <c r="G21" s="275"/>
      <c r="H21" s="275"/>
      <c r="I21" s="310"/>
    </row>
    <row r="22" spans="1:9" x14ac:dyDescent="0.25">
      <c r="A22" s="33" t="s">
        <v>210</v>
      </c>
      <c r="B22" s="273">
        <v>14.799999999999999</v>
      </c>
      <c r="C22" s="274">
        <v>40</v>
      </c>
      <c r="D22" s="275"/>
      <c r="E22" s="275"/>
      <c r="F22" s="276">
        <v>11</v>
      </c>
      <c r="G22" s="275"/>
      <c r="H22" s="275"/>
      <c r="I22" s="310"/>
    </row>
    <row r="23" spans="1:9" x14ac:dyDescent="0.25">
      <c r="A23" s="33" t="s">
        <v>211</v>
      </c>
      <c r="B23" s="273">
        <v>13</v>
      </c>
      <c r="C23" s="274">
        <v>40</v>
      </c>
      <c r="D23" s="275"/>
      <c r="E23" s="275"/>
      <c r="F23" s="276">
        <v>12</v>
      </c>
      <c r="G23" s="275"/>
      <c r="H23" s="275"/>
      <c r="I23" s="310"/>
    </row>
    <row r="24" spans="1:9" x14ac:dyDescent="0.25">
      <c r="A24" s="33" t="s">
        <v>225</v>
      </c>
      <c r="B24" s="273">
        <v>13.899999999999999</v>
      </c>
      <c r="C24" s="274">
        <v>40</v>
      </c>
      <c r="D24" s="275"/>
      <c r="E24" s="275"/>
      <c r="F24" s="276">
        <v>9</v>
      </c>
      <c r="G24" s="275"/>
      <c r="H24" s="275"/>
      <c r="I24" s="310"/>
    </row>
    <row r="25" spans="1:9" x14ac:dyDescent="0.25">
      <c r="A25" s="33" t="s">
        <v>226</v>
      </c>
      <c r="B25" s="273">
        <v>10.1</v>
      </c>
      <c r="C25" s="274">
        <v>40</v>
      </c>
      <c r="D25" s="275"/>
      <c r="E25" s="275"/>
      <c r="F25" s="276">
        <v>28</v>
      </c>
      <c r="G25" s="275"/>
      <c r="H25" s="275"/>
      <c r="I25" s="310"/>
    </row>
    <row r="26" spans="1:9" x14ac:dyDescent="0.25">
      <c r="A26" s="307" t="s">
        <v>227</v>
      </c>
      <c r="B26" s="308"/>
      <c r="C26" s="308"/>
      <c r="D26" s="308"/>
      <c r="E26" s="308"/>
      <c r="F26" s="308"/>
      <c r="G26" s="308"/>
      <c r="H26" s="308"/>
    </row>
    <row r="27" spans="1:9" x14ac:dyDescent="0.25">
      <c r="A27" s="307" t="s">
        <v>228</v>
      </c>
      <c r="B27" s="308"/>
      <c r="C27" s="308"/>
      <c r="D27" s="308"/>
      <c r="E27" s="308"/>
      <c r="F27" s="308"/>
      <c r="G27" s="308"/>
      <c r="H27" s="308"/>
    </row>
    <row r="28" spans="1:9" x14ac:dyDescent="0.25">
      <c r="A28" s="307" t="s">
        <v>229</v>
      </c>
      <c r="B28" s="309"/>
      <c r="C28" s="309"/>
      <c r="D28" s="309"/>
      <c r="E28" s="309"/>
      <c r="F28" s="309"/>
      <c r="G28" s="309"/>
      <c r="H28" s="309"/>
    </row>
    <row r="29" spans="1:9" x14ac:dyDescent="0.25">
      <c r="A29" s="307" t="s">
        <v>45</v>
      </c>
      <c r="B29" s="309"/>
      <c r="C29" s="309"/>
      <c r="D29" s="309"/>
      <c r="E29" s="309"/>
      <c r="F29" s="309"/>
      <c r="G29" s="309"/>
      <c r="H29" s="309"/>
    </row>
    <row r="31" spans="1:9" x14ac:dyDescent="0.25">
      <c r="A31" s="202" t="s">
        <v>232</v>
      </c>
    </row>
    <row r="32" spans="1:9" x14ac:dyDescent="0.25">
      <c r="A32" s="202" t="s">
        <v>235</v>
      </c>
    </row>
    <row r="33" spans="1:8" x14ac:dyDescent="0.25">
      <c r="A33" s="314" t="s">
        <v>682</v>
      </c>
    </row>
    <row r="34" spans="1:8" x14ac:dyDescent="0.25">
      <c r="A34" s="202" t="s">
        <v>233</v>
      </c>
    </row>
    <row r="35" spans="1:8" x14ac:dyDescent="0.25">
      <c r="A35" s="202" t="s">
        <v>684</v>
      </c>
      <c r="G35" s="46">
        <v>0.25</v>
      </c>
      <c r="H35" s="286" t="s">
        <v>234</v>
      </c>
    </row>
    <row r="36" spans="1:8" x14ac:dyDescent="0.25">
      <c r="A36" s="202" t="s">
        <v>685</v>
      </c>
      <c r="H36" t="s">
        <v>237</v>
      </c>
    </row>
    <row r="37" spans="1:8" x14ac:dyDescent="0.25">
      <c r="A37" s="202" t="s">
        <v>236</v>
      </c>
    </row>
    <row r="38" spans="1:8" x14ac:dyDescent="0.25">
      <c r="A38" s="202" t="s">
        <v>238</v>
      </c>
    </row>
    <row r="39" spans="1:8" x14ac:dyDescent="0.25">
      <c r="A39" s="202" t="s">
        <v>239</v>
      </c>
    </row>
    <row r="40" spans="1:8" x14ac:dyDescent="0.25">
      <c r="A40" s="202" t="s">
        <v>240</v>
      </c>
    </row>
  </sheetData>
  <pageMargins left="0.70866141732283472" right="0.70866141732283472" top="0.78740157480314965" bottom="0.78740157480314965" header="0.31496062992125984" footer="0.31496062992125984"/>
  <pageSetup paperSize="9" scale="7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0"/>
  <sheetViews>
    <sheetView zoomScale="80" zoomScaleNormal="80" workbookViewId="0"/>
  </sheetViews>
  <sheetFormatPr baseColWidth="10" defaultRowHeight="15" x14ac:dyDescent="0.25"/>
  <cols>
    <col min="1" max="1" width="23.5703125" customWidth="1"/>
    <col min="2" max="5" width="18.42578125" customWidth="1"/>
    <col min="6" max="6" width="16.85546875" customWidth="1"/>
    <col min="7" max="8" width="18.42578125" customWidth="1"/>
  </cols>
  <sheetData>
    <row r="1" spans="1:8" ht="21" x14ac:dyDescent="0.35">
      <c r="A1" s="162" t="s">
        <v>52</v>
      </c>
      <c r="B1" s="615" t="s">
        <v>1269</v>
      </c>
      <c r="C1" s="615"/>
    </row>
    <row r="3" spans="1:8" x14ac:dyDescent="0.25">
      <c r="A3" s="647" t="s">
        <v>681</v>
      </c>
      <c r="B3" s="647"/>
      <c r="C3" s="647"/>
      <c r="D3" s="647"/>
      <c r="E3" s="647"/>
      <c r="F3" s="647"/>
      <c r="G3" s="647"/>
      <c r="H3" s="647"/>
    </row>
    <row r="5" spans="1:8" ht="36.75" customHeight="1" x14ac:dyDescent="0.25">
      <c r="A5" s="311" t="s">
        <v>53</v>
      </c>
      <c r="B5" s="311" t="s">
        <v>54</v>
      </c>
      <c r="C5" s="311" t="s">
        <v>55</v>
      </c>
      <c r="D5" s="311" t="s">
        <v>56</v>
      </c>
      <c r="E5" s="311" t="s">
        <v>57</v>
      </c>
      <c r="F5" s="311" t="s">
        <v>58</v>
      </c>
      <c r="G5" s="311" t="s">
        <v>59</v>
      </c>
      <c r="H5" s="311" t="s">
        <v>60</v>
      </c>
    </row>
    <row r="6" spans="1:8" x14ac:dyDescent="0.25">
      <c r="A6" s="33" t="s">
        <v>207</v>
      </c>
      <c r="B6" s="47">
        <v>13.5</v>
      </c>
      <c r="C6" s="47">
        <v>40</v>
      </c>
      <c r="D6" s="47">
        <f>+B6*C6*4</f>
        <v>2160</v>
      </c>
      <c r="E6" s="47">
        <f t="shared" ref="E6:E25" si="0">+B6+B6*$G$35</f>
        <v>16.875</v>
      </c>
      <c r="F6" s="47">
        <v>17</v>
      </c>
      <c r="G6" s="47">
        <f>+F6*E6</f>
        <v>286.875</v>
      </c>
      <c r="H6" s="48">
        <f>+G6+D6</f>
        <v>2446.875</v>
      </c>
    </row>
    <row r="7" spans="1:8" x14ac:dyDescent="0.25">
      <c r="A7" s="33" t="s">
        <v>208</v>
      </c>
      <c r="B7" s="47">
        <v>10.1</v>
      </c>
      <c r="C7" s="47">
        <v>40</v>
      </c>
      <c r="D7" s="47">
        <f t="shared" ref="D7:D25" si="1">+B7*C7*4</f>
        <v>1616</v>
      </c>
      <c r="E7" s="47">
        <f t="shared" si="0"/>
        <v>12.625</v>
      </c>
      <c r="F7" s="47">
        <v>12</v>
      </c>
      <c r="G7" s="47">
        <f t="shared" ref="G7:G25" si="2">+F7*E7</f>
        <v>151.5</v>
      </c>
      <c r="H7" s="48">
        <f t="shared" ref="H7:H25" si="3">+G7+D7</f>
        <v>1767.5</v>
      </c>
    </row>
    <row r="8" spans="1:8" x14ac:dyDescent="0.25">
      <c r="A8" s="33" t="s">
        <v>209</v>
      </c>
      <c r="B8" s="47">
        <v>13.7</v>
      </c>
      <c r="C8" s="47">
        <v>40</v>
      </c>
      <c r="D8" s="47">
        <f t="shared" si="1"/>
        <v>2192</v>
      </c>
      <c r="E8" s="47">
        <f t="shared" si="0"/>
        <v>17.125</v>
      </c>
      <c r="F8" s="47">
        <v>10</v>
      </c>
      <c r="G8" s="47">
        <f t="shared" si="2"/>
        <v>171.25</v>
      </c>
      <c r="H8" s="48">
        <f t="shared" si="3"/>
        <v>2363.25</v>
      </c>
    </row>
    <row r="9" spans="1:8" x14ac:dyDescent="0.25">
      <c r="A9" s="33" t="s">
        <v>210</v>
      </c>
      <c r="B9" s="47">
        <v>12.8</v>
      </c>
      <c r="C9" s="47">
        <v>40</v>
      </c>
      <c r="D9" s="47">
        <f t="shared" si="1"/>
        <v>2048</v>
      </c>
      <c r="E9" s="47">
        <f t="shared" si="0"/>
        <v>16</v>
      </c>
      <c r="F9" s="47">
        <v>11</v>
      </c>
      <c r="G9" s="47">
        <f t="shared" si="2"/>
        <v>176</v>
      </c>
      <c r="H9" s="48">
        <f t="shared" si="3"/>
        <v>2224</v>
      </c>
    </row>
    <row r="10" spans="1:8" x14ac:dyDescent="0.25">
      <c r="A10" s="33" t="s">
        <v>211</v>
      </c>
      <c r="B10" s="47">
        <v>12</v>
      </c>
      <c r="C10" s="47">
        <v>40</v>
      </c>
      <c r="D10" s="47">
        <f t="shared" si="1"/>
        <v>1920</v>
      </c>
      <c r="E10" s="47">
        <f t="shared" si="0"/>
        <v>15</v>
      </c>
      <c r="F10" s="47">
        <v>13</v>
      </c>
      <c r="G10" s="47">
        <f t="shared" si="2"/>
        <v>195</v>
      </c>
      <c r="H10" s="48">
        <f t="shared" si="3"/>
        <v>2115</v>
      </c>
    </row>
    <row r="11" spans="1:8" x14ac:dyDescent="0.25">
      <c r="A11" s="33" t="s">
        <v>212</v>
      </c>
      <c r="B11" s="47">
        <v>11.8</v>
      </c>
      <c r="C11" s="47">
        <v>40</v>
      </c>
      <c r="D11" s="47">
        <f t="shared" si="1"/>
        <v>1888</v>
      </c>
      <c r="E11" s="47">
        <f t="shared" si="0"/>
        <v>14.75</v>
      </c>
      <c r="F11" s="47">
        <v>14</v>
      </c>
      <c r="G11" s="47">
        <f t="shared" si="2"/>
        <v>206.5</v>
      </c>
      <c r="H11" s="48">
        <f t="shared" si="3"/>
        <v>2094.5</v>
      </c>
    </row>
    <row r="12" spans="1:8" x14ac:dyDescent="0.25">
      <c r="A12" s="33" t="s">
        <v>213</v>
      </c>
      <c r="B12" s="47">
        <v>12</v>
      </c>
      <c r="C12" s="47">
        <v>40</v>
      </c>
      <c r="D12" s="47">
        <f t="shared" si="1"/>
        <v>1920</v>
      </c>
      <c r="E12" s="47">
        <f t="shared" si="0"/>
        <v>15</v>
      </c>
      <c r="F12" s="47">
        <v>5</v>
      </c>
      <c r="G12" s="47">
        <f t="shared" si="2"/>
        <v>75</v>
      </c>
      <c r="H12" s="48">
        <f t="shared" si="3"/>
        <v>1995</v>
      </c>
    </row>
    <row r="13" spans="1:8" x14ac:dyDescent="0.25">
      <c r="A13" s="33" t="s">
        <v>214</v>
      </c>
      <c r="B13" s="47">
        <v>10.1</v>
      </c>
      <c r="C13" s="47">
        <v>40</v>
      </c>
      <c r="D13" s="47">
        <f t="shared" si="1"/>
        <v>1616</v>
      </c>
      <c r="E13" s="47">
        <f t="shared" si="0"/>
        <v>12.625</v>
      </c>
      <c r="F13" s="47">
        <v>10</v>
      </c>
      <c r="G13" s="47">
        <f t="shared" si="2"/>
        <v>126.25</v>
      </c>
      <c r="H13" s="48">
        <f t="shared" si="3"/>
        <v>1742.25</v>
      </c>
    </row>
    <row r="14" spans="1:8" x14ac:dyDescent="0.25">
      <c r="A14" s="33" t="s">
        <v>215</v>
      </c>
      <c r="B14" s="47">
        <v>12.799999999999999</v>
      </c>
      <c r="C14" s="47">
        <v>40</v>
      </c>
      <c r="D14" s="47">
        <f t="shared" si="1"/>
        <v>2047.9999999999998</v>
      </c>
      <c r="E14" s="47">
        <f t="shared" si="0"/>
        <v>15.999999999999998</v>
      </c>
      <c r="F14" s="47">
        <v>4</v>
      </c>
      <c r="G14" s="47">
        <f t="shared" si="2"/>
        <v>63.999999999999993</v>
      </c>
      <c r="H14" s="48">
        <f t="shared" si="3"/>
        <v>2111.9999999999995</v>
      </c>
    </row>
    <row r="15" spans="1:8" x14ac:dyDescent="0.25">
      <c r="A15" s="33" t="s">
        <v>216</v>
      </c>
      <c r="B15" s="47">
        <v>14.6</v>
      </c>
      <c r="C15" s="47">
        <v>40</v>
      </c>
      <c r="D15" s="47">
        <f t="shared" si="1"/>
        <v>2336</v>
      </c>
      <c r="E15" s="47">
        <f t="shared" si="0"/>
        <v>18.25</v>
      </c>
      <c r="F15" s="47">
        <v>3</v>
      </c>
      <c r="G15" s="47">
        <f t="shared" si="2"/>
        <v>54.75</v>
      </c>
      <c r="H15" s="48">
        <f t="shared" si="3"/>
        <v>2390.75</v>
      </c>
    </row>
    <row r="16" spans="1:8" x14ac:dyDescent="0.25">
      <c r="A16" s="33" t="s">
        <v>217</v>
      </c>
      <c r="B16" s="47">
        <v>14.799999999999999</v>
      </c>
      <c r="C16" s="47">
        <v>40</v>
      </c>
      <c r="D16" s="47">
        <f t="shared" si="1"/>
        <v>2368</v>
      </c>
      <c r="E16" s="47">
        <f t="shared" si="0"/>
        <v>18.5</v>
      </c>
      <c r="F16" s="47">
        <v>6</v>
      </c>
      <c r="G16" s="47">
        <f t="shared" si="2"/>
        <v>111</v>
      </c>
      <c r="H16" s="48">
        <f t="shared" si="3"/>
        <v>2479</v>
      </c>
    </row>
    <row r="17" spans="1:8" x14ac:dyDescent="0.25">
      <c r="A17" s="33" t="s">
        <v>218</v>
      </c>
      <c r="B17" s="47">
        <v>15.6</v>
      </c>
      <c r="C17" s="47">
        <v>40</v>
      </c>
      <c r="D17" s="47">
        <f t="shared" si="1"/>
        <v>2496</v>
      </c>
      <c r="E17" s="47">
        <f t="shared" si="0"/>
        <v>19.5</v>
      </c>
      <c r="F17" s="47">
        <v>5</v>
      </c>
      <c r="G17" s="47">
        <f t="shared" si="2"/>
        <v>97.5</v>
      </c>
      <c r="H17" s="48">
        <f t="shared" si="3"/>
        <v>2593.5</v>
      </c>
    </row>
    <row r="18" spans="1:8" x14ac:dyDescent="0.25">
      <c r="A18" s="33" t="s">
        <v>219</v>
      </c>
      <c r="B18" s="47">
        <v>12.2</v>
      </c>
      <c r="C18" s="47">
        <v>40</v>
      </c>
      <c r="D18" s="47">
        <f t="shared" si="1"/>
        <v>1952</v>
      </c>
      <c r="E18" s="47">
        <f t="shared" si="0"/>
        <v>15.25</v>
      </c>
      <c r="F18" s="47">
        <v>15</v>
      </c>
      <c r="G18" s="47">
        <f t="shared" si="2"/>
        <v>228.75</v>
      </c>
      <c r="H18" s="48">
        <f t="shared" si="3"/>
        <v>2180.75</v>
      </c>
    </row>
    <row r="19" spans="1:8" x14ac:dyDescent="0.25">
      <c r="A19" s="33" t="s">
        <v>220</v>
      </c>
      <c r="B19" s="47">
        <v>14.6</v>
      </c>
      <c r="C19" s="47">
        <v>40</v>
      </c>
      <c r="D19" s="47">
        <f t="shared" si="1"/>
        <v>2336</v>
      </c>
      <c r="E19" s="47">
        <f t="shared" si="0"/>
        <v>18.25</v>
      </c>
      <c r="F19" s="47">
        <v>9</v>
      </c>
      <c r="G19" s="47">
        <f t="shared" si="2"/>
        <v>164.25</v>
      </c>
      <c r="H19" s="48">
        <f t="shared" si="3"/>
        <v>2500.25</v>
      </c>
    </row>
    <row r="20" spans="1:8" x14ac:dyDescent="0.25">
      <c r="A20" s="33" t="s">
        <v>221</v>
      </c>
      <c r="B20" s="47">
        <v>14.799999999999999</v>
      </c>
      <c r="C20" s="47">
        <v>40</v>
      </c>
      <c r="D20" s="47">
        <f t="shared" si="1"/>
        <v>2368</v>
      </c>
      <c r="E20" s="47">
        <f t="shared" si="0"/>
        <v>18.5</v>
      </c>
      <c r="F20" s="47">
        <v>9</v>
      </c>
      <c r="G20" s="47">
        <f t="shared" si="2"/>
        <v>166.5</v>
      </c>
      <c r="H20" s="48">
        <f t="shared" si="3"/>
        <v>2534.5</v>
      </c>
    </row>
    <row r="21" spans="1:8" x14ac:dyDescent="0.25">
      <c r="A21" s="33" t="s">
        <v>222</v>
      </c>
      <c r="B21" s="47">
        <v>15.6</v>
      </c>
      <c r="C21" s="47">
        <v>40</v>
      </c>
      <c r="D21" s="47">
        <f t="shared" si="1"/>
        <v>2496</v>
      </c>
      <c r="E21" s="47">
        <f t="shared" si="0"/>
        <v>19.5</v>
      </c>
      <c r="F21" s="47">
        <v>5</v>
      </c>
      <c r="G21" s="47">
        <f t="shared" si="2"/>
        <v>97.5</v>
      </c>
      <c r="H21" s="48">
        <f t="shared" si="3"/>
        <v>2593.5</v>
      </c>
    </row>
    <row r="22" spans="1:8" x14ac:dyDescent="0.25">
      <c r="A22" s="33" t="s">
        <v>223</v>
      </c>
      <c r="B22" s="47">
        <v>14.799999999999999</v>
      </c>
      <c r="C22" s="47">
        <v>40</v>
      </c>
      <c r="D22" s="47">
        <f t="shared" si="1"/>
        <v>2368</v>
      </c>
      <c r="E22" s="47">
        <f t="shared" si="0"/>
        <v>18.5</v>
      </c>
      <c r="F22" s="47">
        <v>11</v>
      </c>
      <c r="G22" s="47">
        <f t="shared" si="2"/>
        <v>203.5</v>
      </c>
      <c r="H22" s="48">
        <f t="shared" si="3"/>
        <v>2571.5</v>
      </c>
    </row>
    <row r="23" spans="1:8" x14ac:dyDescent="0.25">
      <c r="A23" s="33" t="s">
        <v>224</v>
      </c>
      <c r="B23" s="47">
        <v>13</v>
      </c>
      <c r="C23" s="47">
        <v>40</v>
      </c>
      <c r="D23" s="47">
        <f t="shared" si="1"/>
        <v>2080</v>
      </c>
      <c r="E23" s="47">
        <f t="shared" si="0"/>
        <v>16.25</v>
      </c>
      <c r="F23" s="47">
        <v>12</v>
      </c>
      <c r="G23" s="47">
        <f t="shared" si="2"/>
        <v>195</v>
      </c>
      <c r="H23" s="48">
        <f t="shared" si="3"/>
        <v>2275</v>
      </c>
    </row>
    <row r="24" spans="1:8" x14ac:dyDescent="0.25">
      <c r="A24" s="33" t="s">
        <v>225</v>
      </c>
      <c r="B24" s="47">
        <v>13.899999999999999</v>
      </c>
      <c r="C24" s="47">
        <v>40</v>
      </c>
      <c r="D24" s="47">
        <f t="shared" si="1"/>
        <v>2224</v>
      </c>
      <c r="E24" s="47">
        <f t="shared" si="0"/>
        <v>17.375</v>
      </c>
      <c r="F24" s="47">
        <v>9</v>
      </c>
      <c r="G24" s="47">
        <f t="shared" si="2"/>
        <v>156.375</v>
      </c>
      <c r="H24" s="48">
        <f t="shared" si="3"/>
        <v>2380.375</v>
      </c>
    </row>
    <row r="25" spans="1:8" x14ac:dyDescent="0.25">
      <c r="A25" s="33" t="s">
        <v>226</v>
      </c>
      <c r="B25" s="47">
        <v>10.1</v>
      </c>
      <c r="C25" s="47">
        <v>40</v>
      </c>
      <c r="D25" s="47">
        <f t="shared" si="1"/>
        <v>1616</v>
      </c>
      <c r="E25" s="47">
        <f t="shared" si="0"/>
        <v>12.625</v>
      </c>
      <c r="F25" s="47">
        <v>28</v>
      </c>
      <c r="G25" s="47">
        <f t="shared" si="2"/>
        <v>353.5</v>
      </c>
      <c r="H25" s="48">
        <f t="shared" si="3"/>
        <v>1969.5</v>
      </c>
    </row>
    <row r="26" spans="1:8" x14ac:dyDescent="0.25">
      <c r="A26" s="312" t="s">
        <v>227</v>
      </c>
      <c r="B26" s="313">
        <f t="shared" ref="B26:H26" si="4">AVERAGE(B6:B25)</f>
        <v>13.14</v>
      </c>
      <c r="C26" s="313">
        <f t="shared" si="4"/>
        <v>40</v>
      </c>
      <c r="D26" s="313">
        <f t="shared" si="4"/>
        <v>2102.4</v>
      </c>
      <c r="E26" s="313">
        <f t="shared" si="4"/>
        <v>16.425000000000001</v>
      </c>
      <c r="F26" s="313">
        <f t="shared" si="4"/>
        <v>10.4</v>
      </c>
      <c r="G26" s="313">
        <f t="shared" si="4"/>
        <v>164.05</v>
      </c>
      <c r="H26" s="313">
        <f t="shared" si="4"/>
        <v>2266.4499999999998</v>
      </c>
    </row>
    <row r="27" spans="1:8" x14ac:dyDescent="0.25">
      <c r="A27" s="312" t="s">
        <v>228</v>
      </c>
      <c r="B27" s="313">
        <f>MIN(B6:B25)</f>
        <v>10.1</v>
      </c>
      <c r="C27" s="313">
        <f t="shared" ref="C27:H27" si="5">MIN(C6:C25)</f>
        <v>40</v>
      </c>
      <c r="D27" s="313">
        <f t="shared" si="5"/>
        <v>1616</v>
      </c>
      <c r="E27" s="313">
        <f t="shared" si="5"/>
        <v>12.625</v>
      </c>
      <c r="F27" s="313">
        <f t="shared" si="5"/>
        <v>3</v>
      </c>
      <c r="G27" s="313">
        <f t="shared" si="5"/>
        <v>54.75</v>
      </c>
      <c r="H27" s="313">
        <f t="shared" si="5"/>
        <v>1742.25</v>
      </c>
    </row>
    <row r="28" spans="1:8" x14ac:dyDescent="0.25">
      <c r="A28" s="312" t="s">
        <v>229</v>
      </c>
      <c r="B28" s="313">
        <f>MAX(B6:B25)</f>
        <v>15.6</v>
      </c>
      <c r="C28" s="313">
        <f t="shared" ref="C28:H28" si="6">MAX(C6:C25)</f>
        <v>40</v>
      </c>
      <c r="D28" s="313">
        <f t="shared" si="6"/>
        <v>2496</v>
      </c>
      <c r="E28" s="313">
        <f t="shared" si="6"/>
        <v>19.5</v>
      </c>
      <c r="F28" s="313">
        <f t="shared" si="6"/>
        <v>28</v>
      </c>
      <c r="G28" s="313">
        <f t="shared" si="6"/>
        <v>353.5</v>
      </c>
      <c r="H28" s="313">
        <f t="shared" si="6"/>
        <v>2593.5</v>
      </c>
    </row>
    <row r="29" spans="1:8" x14ac:dyDescent="0.25">
      <c r="A29" s="312" t="s">
        <v>45</v>
      </c>
      <c r="B29" s="313"/>
      <c r="C29" s="313">
        <f>SUM(C6:C25)</f>
        <v>800</v>
      </c>
      <c r="D29" s="313">
        <f>SUM(D6:D25)</f>
        <v>42048</v>
      </c>
      <c r="E29" s="313"/>
      <c r="F29" s="313">
        <f>SUM(F6:F25)</f>
        <v>208</v>
      </c>
      <c r="G29" s="313">
        <f>SUM(G6:G25)</f>
        <v>3281</v>
      </c>
      <c r="H29" s="313">
        <f>SUM(H6:H25)</f>
        <v>45329</v>
      </c>
    </row>
    <row r="31" spans="1:8" x14ac:dyDescent="0.25">
      <c r="A31" s="52" t="s">
        <v>232</v>
      </c>
    </row>
    <row r="32" spans="1:8" x14ac:dyDescent="0.25">
      <c r="A32" s="52" t="s">
        <v>235</v>
      </c>
    </row>
    <row r="33" spans="1:8" x14ac:dyDescent="0.25">
      <c r="A33" s="202" t="s">
        <v>683</v>
      </c>
    </row>
    <row r="34" spans="1:8" x14ac:dyDescent="0.25">
      <c r="A34" s="52" t="s">
        <v>233</v>
      </c>
    </row>
    <row r="35" spans="1:8" x14ac:dyDescent="0.25">
      <c r="A35" s="52" t="s">
        <v>684</v>
      </c>
      <c r="G35" s="46">
        <v>0.25</v>
      </c>
      <c r="H35" s="286" t="s">
        <v>234</v>
      </c>
    </row>
    <row r="36" spans="1:8" x14ac:dyDescent="0.25">
      <c r="A36" s="52" t="s">
        <v>685</v>
      </c>
      <c r="H36" t="s">
        <v>237</v>
      </c>
    </row>
    <row r="37" spans="1:8" x14ac:dyDescent="0.25">
      <c r="A37" s="52" t="s">
        <v>236</v>
      </c>
    </row>
    <row r="38" spans="1:8" x14ac:dyDescent="0.25">
      <c r="A38" s="52" t="s">
        <v>238</v>
      </c>
    </row>
    <row r="39" spans="1:8" x14ac:dyDescent="0.25">
      <c r="A39" s="52" t="s">
        <v>239</v>
      </c>
    </row>
    <row r="40" spans="1:8" x14ac:dyDescent="0.25">
      <c r="A40" s="52" t="s">
        <v>240</v>
      </c>
    </row>
  </sheetData>
  <sortState xmlns:xlrd2="http://schemas.microsoft.com/office/spreadsheetml/2017/richdata2" ref="A6:H25">
    <sortCondition ref="A6"/>
  </sortState>
  <mergeCells count="1">
    <mergeCell ref="A3:H3"/>
  </mergeCell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36"/>
  <sheetViews>
    <sheetView zoomScaleNormal="100" workbookViewId="0"/>
  </sheetViews>
  <sheetFormatPr baseColWidth="10" defaultColWidth="11.42578125" defaultRowHeight="15" x14ac:dyDescent="0.25"/>
  <cols>
    <col min="1" max="1" width="38.28515625" customWidth="1"/>
    <col min="2" max="2" width="14.7109375" customWidth="1"/>
    <col min="4" max="4" width="17" customWidth="1"/>
    <col min="5" max="5" width="14.7109375" customWidth="1"/>
  </cols>
  <sheetData>
    <row r="1" spans="1:5" ht="21" x14ac:dyDescent="0.35">
      <c r="A1" s="162" t="s">
        <v>65</v>
      </c>
      <c r="B1" s="618" t="s">
        <v>1301</v>
      </c>
      <c r="C1" s="615"/>
      <c r="D1" s="615"/>
    </row>
    <row r="3" spans="1:5" x14ac:dyDescent="0.25">
      <c r="A3" s="300" t="s">
        <v>704</v>
      </c>
    </row>
    <row r="4" spans="1:5" ht="15.75" thickBot="1" x14ac:dyDescent="0.3">
      <c r="A4" s="6"/>
    </row>
    <row r="5" spans="1:5" ht="15.75" thickBot="1" x14ac:dyDescent="0.3">
      <c r="A5" s="256" t="s">
        <v>146</v>
      </c>
      <c r="B5" s="317">
        <v>20</v>
      </c>
      <c r="C5" t="s">
        <v>258</v>
      </c>
    </row>
    <row r="7" spans="1:5" x14ac:dyDescent="0.25">
      <c r="A7" s="33"/>
      <c r="B7" s="648" t="s">
        <v>709</v>
      </c>
      <c r="C7" s="649"/>
      <c r="D7" s="648" t="s">
        <v>710</v>
      </c>
      <c r="E7" s="649"/>
    </row>
    <row r="8" spans="1:5" x14ac:dyDescent="0.25">
      <c r="A8" s="33" t="s">
        <v>713</v>
      </c>
      <c r="B8" s="74"/>
      <c r="C8" s="118">
        <v>416</v>
      </c>
      <c r="D8" s="33"/>
      <c r="E8" s="118">
        <v>380</v>
      </c>
    </row>
    <row r="9" spans="1:5" x14ac:dyDescent="0.25">
      <c r="A9" s="278" t="s">
        <v>259</v>
      </c>
      <c r="B9" s="279">
        <v>15</v>
      </c>
      <c r="C9" s="280">
        <v>0.12</v>
      </c>
      <c r="D9" s="279">
        <v>30</v>
      </c>
      <c r="E9" s="280">
        <v>0.15</v>
      </c>
    </row>
    <row r="10" spans="1:5" x14ac:dyDescent="0.25">
      <c r="A10" s="278" t="s">
        <v>147</v>
      </c>
      <c r="B10" s="281" t="s">
        <v>249</v>
      </c>
      <c r="C10" s="280">
        <v>0.03</v>
      </c>
      <c r="D10" s="281" t="s">
        <v>250</v>
      </c>
      <c r="E10" s="282">
        <v>0.02</v>
      </c>
    </row>
    <row r="11" spans="1:5" x14ac:dyDescent="0.25">
      <c r="A11" s="278" t="s">
        <v>712</v>
      </c>
      <c r="B11" s="281"/>
      <c r="C11" s="318">
        <v>2.5</v>
      </c>
      <c r="D11" s="281"/>
      <c r="E11" s="318">
        <v>2</v>
      </c>
    </row>
    <row r="12" spans="1:5" x14ac:dyDescent="0.25">
      <c r="A12" s="278" t="s">
        <v>711</v>
      </c>
      <c r="B12" s="281" t="s">
        <v>705</v>
      </c>
      <c r="C12" s="318">
        <v>55</v>
      </c>
      <c r="D12" s="281" t="s">
        <v>706</v>
      </c>
      <c r="E12" s="318">
        <v>48</v>
      </c>
    </row>
    <row r="15" spans="1:5" ht="45" customHeight="1" x14ac:dyDescent="0.25">
      <c r="A15" s="650" t="s">
        <v>708</v>
      </c>
      <c r="B15" s="650"/>
      <c r="C15" s="650"/>
      <c r="D15" s="650"/>
      <c r="E15" s="650"/>
    </row>
    <row r="16" spans="1:5" x14ac:dyDescent="0.25">
      <c r="A16" s="9"/>
      <c r="B16" s="9"/>
      <c r="C16" s="9"/>
      <c r="D16" s="9"/>
      <c r="E16" s="9"/>
    </row>
    <row r="17" spans="1:5" x14ac:dyDescent="0.25">
      <c r="A17" s="9"/>
      <c r="B17" s="9"/>
      <c r="C17" s="9"/>
      <c r="D17" s="9"/>
      <c r="E17" s="9"/>
    </row>
    <row r="18" spans="1:5" ht="15.75" thickBot="1" x14ac:dyDescent="0.3">
      <c r="A18" s="9"/>
      <c r="B18" s="9"/>
      <c r="C18" s="9"/>
      <c r="D18" s="9"/>
      <c r="E18" s="9"/>
    </row>
    <row r="19" spans="1:5" x14ac:dyDescent="0.25">
      <c r="A19" s="327"/>
      <c r="B19" s="328"/>
      <c r="C19" s="328"/>
      <c r="D19" s="328"/>
      <c r="E19" s="329"/>
    </row>
    <row r="20" spans="1:5" x14ac:dyDescent="0.25">
      <c r="A20" s="330"/>
      <c r="B20" s="323"/>
      <c r="C20" s="323"/>
      <c r="D20" s="323"/>
      <c r="E20" s="331"/>
    </row>
    <row r="21" spans="1:5" x14ac:dyDescent="0.25">
      <c r="A21" s="330"/>
      <c r="B21" s="324"/>
      <c r="C21" s="325"/>
      <c r="D21" s="324"/>
      <c r="E21" s="332"/>
    </row>
    <row r="22" spans="1:5" x14ac:dyDescent="0.25">
      <c r="A22" s="333"/>
      <c r="B22" s="324"/>
      <c r="C22" s="325"/>
      <c r="D22" s="324"/>
      <c r="E22" s="332"/>
    </row>
    <row r="23" spans="1:5" x14ac:dyDescent="0.25">
      <c r="A23" s="342" t="s">
        <v>715</v>
      </c>
      <c r="B23" s="324"/>
      <c r="C23" s="325"/>
      <c r="D23" s="324"/>
      <c r="E23" s="332"/>
    </row>
    <row r="24" spans="1:5" x14ac:dyDescent="0.25">
      <c r="A24" s="333"/>
      <c r="B24" s="324"/>
      <c r="C24" s="325"/>
      <c r="D24" s="324"/>
      <c r="E24" s="332"/>
    </row>
    <row r="25" spans="1:5" x14ac:dyDescent="0.25">
      <c r="A25" s="333"/>
      <c r="B25" s="324"/>
      <c r="C25" s="325"/>
      <c r="D25" s="324"/>
      <c r="E25" s="332"/>
    </row>
    <row r="26" spans="1:5" x14ac:dyDescent="0.25">
      <c r="A26" s="333"/>
      <c r="B26" s="324"/>
      <c r="C26" s="325"/>
      <c r="D26" s="324"/>
      <c r="E26" s="332"/>
    </row>
    <row r="27" spans="1:5" x14ac:dyDescent="0.25">
      <c r="A27" s="334"/>
      <c r="B27" s="324"/>
      <c r="C27" s="326"/>
      <c r="D27" s="323"/>
      <c r="E27" s="335"/>
    </row>
    <row r="28" spans="1:5" x14ac:dyDescent="0.25">
      <c r="A28" s="336"/>
      <c r="B28" s="324"/>
      <c r="C28" s="326"/>
      <c r="D28" s="323"/>
      <c r="E28" s="335"/>
    </row>
    <row r="29" spans="1:5" ht="15.75" thickBot="1" x14ac:dyDescent="0.3">
      <c r="A29" s="337"/>
      <c r="B29" s="338"/>
      <c r="C29" s="339"/>
      <c r="D29" s="340"/>
      <c r="E29" s="341"/>
    </row>
    <row r="30" spans="1:5" x14ac:dyDescent="0.25">
      <c r="A30" s="9"/>
      <c r="B30" s="9"/>
      <c r="C30" s="9"/>
      <c r="D30" s="9"/>
      <c r="E30" s="9"/>
    </row>
    <row r="31" spans="1:5" x14ac:dyDescent="0.25">
      <c r="A31" s="9"/>
      <c r="B31" s="9"/>
      <c r="C31" s="9"/>
      <c r="D31" s="9"/>
      <c r="E31" s="9"/>
    </row>
    <row r="32" spans="1:5" ht="30" customHeight="1" x14ac:dyDescent="0.25">
      <c r="A32" s="646" t="s">
        <v>707</v>
      </c>
      <c r="B32" s="646"/>
      <c r="C32" s="646"/>
      <c r="D32" s="646"/>
      <c r="E32" s="646"/>
    </row>
    <row r="33" spans="1:5" ht="32.25" customHeight="1" x14ac:dyDescent="0.25">
      <c r="A33" s="646" t="s">
        <v>664</v>
      </c>
      <c r="B33" s="646"/>
      <c r="C33" s="646"/>
      <c r="D33" s="646"/>
      <c r="E33" s="646"/>
    </row>
    <row r="34" spans="1:5" x14ac:dyDescent="0.25">
      <c r="A34" s="9" t="s">
        <v>714</v>
      </c>
      <c r="B34" s="9"/>
      <c r="C34" s="9"/>
      <c r="D34" s="9"/>
      <c r="E34" s="9"/>
    </row>
    <row r="35" spans="1:5" x14ac:dyDescent="0.25">
      <c r="A35" s="9" t="s">
        <v>658</v>
      </c>
      <c r="B35" s="9"/>
      <c r="C35" s="9"/>
      <c r="D35" s="9"/>
      <c r="E35" s="9"/>
    </row>
    <row r="36" spans="1:5" ht="30" customHeight="1" x14ac:dyDescent="0.25">
      <c r="A36" s="646" t="s">
        <v>716</v>
      </c>
      <c r="B36" s="646"/>
      <c r="C36" s="646"/>
      <c r="D36" s="646"/>
      <c r="E36" s="646"/>
    </row>
  </sheetData>
  <mergeCells count="6">
    <mergeCell ref="A36:E36"/>
    <mergeCell ref="B7:C7"/>
    <mergeCell ref="D7:E7"/>
    <mergeCell ref="A15:E15"/>
    <mergeCell ref="A32:E32"/>
    <mergeCell ref="A33:E33"/>
  </mergeCells>
  <pageMargins left="0.70866141732283472" right="0.70866141732283472" top="0.78740157480314965" bottom="0.78740157480314965" header="0.31496062992125984" footer="0.31496062992125984"/>
  <pageSetup paperSize="9" scale="65"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42"/>
  <sheetViews>
    <sheetView zoomScaleNormal="100" workbookViewId="0"/>
  </sheetViews>
  <sheetFormatPr baseColWidth="10" defaultRowHeight="15" x14ac:dyDescent="0.25"/>
  <cols>
    <col min="1" max="1" width="38.28515625" customWidth="1"/>
    <col min="2" max="2" width="14.7109375" customWidth="1"/>
    <col min="4" max="4" width="17" customWidth="1"/>
    <col min="5" max="5" width="14.7109375" customWidth="1"/>
  </cols>
  <sheetData>
    <row r="1" spans="1:5" ht="21" x14ac:dyDescent="0.35">
      <c r="A1" s="162" t="s">
        <v>65</v>
      </c>
      <c r="B1" s="615" t="s">
        <v>1269</v>
      </c>
      <c r="C1" s="615"/>
      <c r="D1" s="615"/>
    </row>
    <row r="3" spans="1:5" x14ac:dyDescent="0.25">
      <c r="A3" s="300" t="s">
        <v>254</v>
      </c>
    </row>
    <row r="4" spans="1:5" x14ac:dyDescent="0.25">
      <c r="A4" s="31"/>
    </row>
    <row r="5" spans="1:5" x14ac:dyDescent="0.25">
      <c r="A5" s="32" t="s">
        <v>146</v>
      </c>
      <c r="B5" s="49">
        <v>20</v>
      </c>
      <c r="C5" t="s">
        <v>258</v>
      </c>
    </row>
    <row r="7" spans="1:5" x14ac:dyDescent="0.25">
      <c r="A7" s="33"/>
      <c r="B7" s="651" t="s">
        <v>709</v>
      </c>
      <c r="C7" s="651"/>
      <c r="D7" s="651" t="s">
        <v>710</v>
      </c>
      <c r="E7" s="651"/>
    </row>
    <row r="8" spans="1:5" x14ac:dyDescent="0.25">
      <c r="A8" s="33" t="s">
        <v>713</v>
      </c>
      <c r="B8" s="74"/>
      <c r="C8" s="118">
        <v>416</v>
      </c>
      <c r="D8" s="33"/>
      <c r="E8" s="118">
        <v>380</v>
      </c>
    </row>
    <row r="9" spans="1:5" x14ac:dyDescent="0.25">
      <c r="A9" s="278" t="s">
        <v>259</v>
      </c>
      <c r="B9" s="279">
        <v>15</v>
      </c>
      <c r="C9" s="280">
        <v>0.12</v>
      </c>
      <c r="D9" s="279">
        <v>30</v>
      </c>
      <c r="E9" s="280">
        <v>0.15</v>
      </c>
    </row>
    <row r="10" spans="1:5" x14ac:dyDescent="0.25">
      <c r="A10" s="278" t="s">
        <v>147</v>
      </c>
      <c r="B10" s="281" t="s">
        <v>249</v>
      </c>
      <c r="C10" s="280">
        <v>0.03</v>
      </c>
      <c r="D10" s="281" t="s">
        <v>250</v>
      </c>
      <c r="E10" s="282">
        <v>0.02</v>
      </c>
    </row>
    <row r="11" spans="1:5" x14ac:dyDescent="0.25">
      <c r="A11" s="278" t="s">
        <v>712</v>
      </c>
      <c r="B11" s="281"/>
      <c r="C11" s="318">
        <v>2.5</v>
      </c>
      <c r="D11" s="281"/>
      <c r="E11" s="318">
        <v>2</v>
      </c>
    </row>
    <row r="12" spans="1:5" x14ac:dyDescent="0.25">
      <c r="A12" s="278" t="s">
        <v>711</v>
      </c>
      <c r="B12" s="281" t="s">
        <v>705</v>
      </c>
      <c r="C12" s="318">
        <v>55</v>
      </c>
      <c r="D12" s="281" t="s">
        <v>706</v>
      </c>
      <c r="E12" s="318">
        <v>48</v>
      </c>
    </row>
    <row r="15" spans="1:5" ht="45" customHeight="1" x14ac:dyDescent="0.25">
      <c r="A15" s="650" t="s">
        <v>708</v>
      </c>
      <c r="B15" s="650"/>
      <c r="C15" s="650"/>
      <c r="D15" s="650"/>
      <c r="E15" s="650"/>
    </row>
    <row r="16" spans="1:5" x14ac:dyDescent="0.25">
      <c r="A16" s="9"/>
      <c r="B16" s="9"/>
      <c r="C16" s="9"/>
      <c r="D16" s="9"/>
      <c r="E16" s="9"/>
    </row>
    <row r="17" spans="1:5" x14ac:dyDescent="0.25">
      <c r="A17" s="9"/>
      <c r="B17" s="9"/>
      <c r="C17" s="9"/>
      <c r="D17" s="9"/>
      <c r="E17" s="9"/>
    </row>
    <row r="18" spans="1:5" x14ac:dyDescent="0.25">
      <c r="A18" s="9"/>
      <c r="B18" s="9"/>
      <c r="C18" s="9"/>
      <c r="D18" s="9"/>
      <c r="E18" s="9"/>
    </row>
    <row r="19" spans="1:5" x14ac:dyDescent="0.25">
      <c r="A19" s="283" t="s">
        <v>251</v>
      </c>
      <c r="B19" s="652" t="s">
        <v>709</v>
      </c>
      <c r="C19" s="652"/>
      <c r="D19" s="652" t="s">
        <v>710</v>
      </c>
      <c r="E19" s="652"/>
    </row>
    <row r="20" spans="1:5" x14ac:dyDescent="0.25">
      <c r="A20" s="283"/>
      <c r="B20" s="160" t="s">
        <v>256</v>
      </c>
      <c r="C20" s="160" t="s">
        <v>257</v>
      </c>
      <c r="D20" s="160" t="s">
        <v>256</v>
      </c>
      <c r="E20" s="160" t="s">
        <v>257</v>
      </c>
    </row>
    <row r="21" spans="1:5" x14ac:dyDescent="0.25">
      <c r="A21" s="283" t="s">
        <v>441</v>
      </c>
      <c r="B21" s="89"/>
      <c r="C21" s="319">
        <f>C8*$B$5</f>
        <v>8320</v>
      </c>
      <c r="D21" s="39"/>
      <c r="E21" s="319">
        <f>E8*$B$5</f>
        <v>7600</v>
      </c>
    </row>
    <row r="22" spans="1:5" x14ac:dyDescent="0.25">
      <c r="A22" s="284" t="s">
        <v>252</v>
      </c>
      <c r="B22" s="285">
        <f>C9</f>
        <v>0.12</v>
      </c>
      <c r="C22" s="319">
        <f>IF($B$5&gt;=B9,C21*B22,0)</f>
        <v>998.4</v>
      </c>
      <c r="D22" s="285">
        <f>E9</f>
        <v>0.15</v>
      </c>
      <c r="E22" s="319">
        <f>IF($B$5&gt;=D9,E21*D22,0)</f>
        <v>0</v>
      </c>
    </row>
    <row r="23" spans="1:5" x14ac:dyDescent="0.25">
      <c r="A23" s="284" t="s">
        <v>69</v>
      </c>
      <c r="B23" s="39"/>
      <c r="C23" s="319">
        <f>C21-C22</f>
        <v>7321.6</v>
      </c>
      <c r="D23" s="39"/>
      <c r="E23" s="319">
        <f>E21-E22</f>
        <v>7600</v>
      </c>
    </row>
    <row r="24" spans="1:5" x14ac:dyDescent="0.25">
      <c r="A24" s="284" t="s">
        <v>253</v>
      </c>
      <c r="B24" s="285">
        <f>C10</f>
        <v>0.03</v>
      </c>
      <c r="C24" s="319">
        <f>C23*B24</f>
        <v>219.648</v>
      </c>
      <c r="D24" s="285">
        <f>E10</f>
        <v>0.02</v>
      </c>
      <c r="E24" s="319">
        <f>E23*D24</f>
        <v>152</v>
      </c>
    </row>
    <row r="25" spans="1:5" x14ac:dyDescent="0.25">
      <c r="A25" s="284" t="s">
        <v>71</v>
      </c>
      <c r="B25" s="39"/>
      <c r="C25" s="319">
        <f>C23-C24</f>
        <v>7101.9520000000002</v>
      </c>
      <c r="D25" s="39"/>
      <c r="E25" s="319">
        <f>E23-E24</f>
        <v>7448</v>
      </c>
    </row>
    <row r="26" spans="1:5" x14ac:dyDescent="0.25">
      <c r="A26" s="284" t="s">
        <v>72</v>
      </c>
      <c r="B26" s="39"/>
      <c r="C26" s="319">
        <f>C11*$B$5+C12</f>
        <v>105</v>
      </c>
      <c r="D26" s="39"/>
      <c r="E26" s="319">
        <f>E11*$B$5+E12</f>
        <v>88</v>
      </c>
    </row>
    <row r="27" spans="1:5" x14ac:dyDescent="0.25">
      <c r="A27" s="50" t="s">
        <v>73</v>
      </c>
      <c r="B27" s="39"/>
      <c r="C27" s="320">
        <f>C25+C26</f>
        <v>7206.9520000000002</v>
      </c>
      <c r="D27" s="160"/>
      <c r="E27" s="320">
        <f>E25+E26</f>
        <v>7536</v>
      </c>
    </row>
    <row r="28" spans="1:5" x14ac:dyDescent="0.25">
      <c r="A28" s="321"/>
      <c r="B28" s="39"/>
      <c r="C28" s="322"/>
      <c r="D28" s="160"/>
      <c r="E28" s="322"/>
    </row>
    <row r="29" spans="1:5" x14ac:dyDescent="0.25">
      <c r="A29" s="321" t="s">
        <v>255</v>
      </c>
      <c r="B29" s="39"/>
      <c r="C29" s="320">
        <f>C27/$B$5</f>
        <v>360.3476</v>
      </c>
      <c r="D29" s="160"/>
      <c r="E29" s="320">
        <f>E27/$B$5</f>
        <v>376.8</v>
      </c>
    </row>
    <row r="30" spans="1:5" x14ac:dyDescent="0.25">
      <c r="A30" s="9"/>
      <c r="B30" s="9"/>
      <c r="C30" s="9"/>
      <c r="D30" s="9"/>
      <c r="E30" s="9"/>
    </row>
    <row r="31" spans="1:5" x14ac:dyDescent="0.25">
      <c r="A31" s="9"/>
      <c r="B31" s="9"/>
      <c r="C31" s="9"/>
      <c r="D31" s="9"/>
      <c r="E31" s="9"/>
    </row>
    <row r="32" spans="1:5" ht="30.75" customHeight="1" x14ac:dyDescent="0.25">
      <c r="A32" s="646" t="s">
        <v>707</v>
      </c>
      <c r="B32" s="646"/>
      <c r="C32" s="646"/>
      <c r="D32" s="646"/>
      <c r="E32" s="646"/>
    </row>
    <row r="33" spans="1:5" ht="30" customHeight="1" x14ac:dyDescent="0.25">
      <c r="A33" s="646" t="s">
        <v>664</v>
      </c>
      <c r="B33" s="646"/>
      <c r="C33" s="646"/>
      <c r="D33" s="646"/>
      <c r="E33" s="646"/>
    </row>
    <row r="34" spans="1:5" x14ac:dyDescent="0.25">
      <c r="A34" s="9" t="s">
        <v>714</v>
      </c>
      <c r="B34" s="9"/>
      <c r="C34" s="9"/>
      <c r="D34" s="9"/>
      <c r="E34" s="9"/>
    </row>
    <row r="35" spans="1:5" x14ac:dyDescent="0.25">
      <c r="A35" s="9" t="s">
        <v>658</v>
      </c>
      <c r="B35" s="9"/>
      <c r="C35" s="9"/>
      <c r="D35" s="9"/>
      <c r="E35" s="9"/>
    </row>
    <row r="36" spans="1:5" ht="30" customHeight="1" x14ac:dyDescent="0.25">
      <c r="A36" s="646" t="s">
        <v>716</v>
      </c>
      <c r="B36" s="646"/>
      <c r="C36" s="646"/>
      <c r="D36" s="646"/>
      <c r="E36" s="646"/>
    </row>
    <row r="38" spans="1:5" x14ac:dyDescent="0.25">
      <c r="A38" t="s">
        <v>583</v>
      </c>
    </row>
    <row r="39" spans="1:5" x14ac:dyDescent="0.25">
      <c r="A39" t="s">
        <v>582</v>
      </c>
    </row>
    <row r="41" spans="1:5" x14ac:dyDescent="0.25">
      <c r="A41" t="s">
        <v>1314</v>
      </c>
    </row>
    <row r="42" spans="1:5" x14ac:dyDescent="0.25">
      <c r="A42" t="s">
        <v>717</v>
      </c>
    </row>
  </sheetData>
  <mergeCells count="8">
    <mergeCell ref="A36:E36"/>
    <mergeCell ref="A33:E33"/>
    <mergeCell ref="B7:C7"/>
    <mergeCell ref="D7:E7"/>
    <mergeCell ref="B19:C19"/>
    <mergeCell ref="D19:E19"/>
    <mergeCell ref="A15:E15"/>
    <mergeCell ref="A32:E32"/>
  </mergeCells>
  <pageMargins left="0.7" right="0.7" top="0.78740157499999996" bottom="0.78740157499999996" header="0.3" footer="0.3"/>
  <pageSetup paperSize="9" scale="90" orientation="portrait" r:id="rId1"/>
  <colBreaks count="1" manualBreakCount="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60"/>
  <sheetViews>
    <sheetView zoomScaleNormal="100" workbookViewId="0"/>
  </sheetViews>
  <sheetFormatPr baseColWidth="10" defaultColWidth="11.42578125" defaultRowHeight="15" x14ac:dyDescent="0.25"/>
  <cols>
    <col min="1" max="1" width="24.28515625" customWidth="1"/>
    <col min="2" max="2" width="13.28515625" customWidth="1"/>
    <col min="3" max="4" width="13.140625" customWidth="1"/>
    <col min="5" max="6" width="15.140625" customWidth="1"/>
  </cols>
  <sheetData>
    <row r="1" spans="1:6" ht="21" x14ac:dyDescent="0.35">
      <c r="A1" s="162" t="s">
        <v>61</v>
      </c>
      <c r="B1" s="618" t="s">
        <v>1301</v>
      </c>
      <c r="C1" s="615"/>
      <c r="D1" s="615"/>
    </row>
    <row r="2" spans="1:6" ht="18.75" x14ac:dyDescent="0.3">
      <c r="A2" s="224"/>
      <c r="B2" s="224"/>
    </row>
    <row r="3" spans="1:6" x14ac:dyDescent="0.25">
      <c r="A3" s="300" t="s">
        <v>686</v>
      </c>
    </row>
    <row r="4" spans="1:6" ht="15.75" x14ac:dyDescent="0.25">
      <c r="B4" s="204"/>
    </row>
    <row r="5" spans="1:6" x14ac:dyDescent="0.25">
      <c r="A5" s="1"/>
      <c r="B5" s="203"/>
      <c r="C5" s="203"/>
      <c r="D5" s="203"/>
      <c r="E5" s="203"/>
      <c r="F5" s="203"/>
    </row>
    <row r="6" spans="1:6" x14ac:dyDescent="0.25">
      <c r="A6" s="1"/>
      <c r="B6" s="203"/>
      <c r="C6" s="203"/>
      <c r="D6" s="203"/>
      <c r="E6" s="203"/>
      <c r="F6" s="203"/>
    </row>
    <row r="7" spans="1:6" x14ac:dyDescent="0.25">
      <c r="A7" s="17" t="s">
        <v>688</v>
      </c>
      <c r="B7" s="226"/>
      <c r="C7" s="203"/>
      <c r="D7" s="203"/>
      <c r="E7" s="203"/>
      <c r="F7" s="203"/>
    </row>
    <row r="8" spans="1:6" x14ac:dyDescent="0.25">
      <c r="A8" s="203"/>
      <c r="B8" s="203"/>
      <c r="C8" s="203"/>
      <c r="D8" s="203"/>
      <c r="E8" s="203"/>
      <c r="F8" s="203"/>
    </row>
    <row r="9" spans="1:6" x14ac:dyDescent="0.25">
      <c r="A9" s="203"/>
      <c r="B9" s="203"/>
      <c r="C9" s="654" t="s">
        <v>230</v>
      </c>
      <c r="D9" s="654"/>
      <c r="E9" s="654" t="s">
        <v>231</v>
      </c>
      <c r="F9" s="654"/>
    </row>
    <row r="10" spans="1:6" x14ac:dyDescent="0.25">
      <c r="A10" s="257"/>
      <c r="B10" s="257"/>
      <c r="C10" s="258" t="s">
        <v>66</v>
      </c>
      <c r="D10" s="258" t="s">
        <v>241</v>
      </c>
      <c r="E10" s="258" t="s">
        <v>66</v>
      </c>
      <c r="F10" s="258" t="s">
        <v>241</v>
      </c>
    </row>
    <row r="11" spans="1:6" x14ac:dyDescent="0.25">
      <c r="A11" s="655" t="s">
        <v>67</v>
      </c>
      <c r="B11" s="655"/>
      <c r="C11" s="259">
        <v>81450</v>
      </c>
      <c r="D11" s="260"/>
      <c r="E11" s="259">
        <v>91200</v>
      </c>
      <c r="F11" s="260"/>
    </row>
    <row r="12" spans="1:6" x14ac:dyDescent="0.25">
      <c r="A12" s="653" t="s">
        <v>68</v>
      </c>
      <c r="B12" s="653"/>
      <c r="C12" s="261">
        <v>0.1</v>
      </c>
      <c r="D12" s="260"/>
      <c r="E12" s="262">
        <v>0.05</v>
      </c>
      <c r="F12" s="260"/>
    </row>
    <row r="13" spans="1:6" x14ac:dyDescent="0.25">
      <c r="A13" s="653" t="s">
        <v>69</v>
      </c>
      <c r="B13" s="653"/>
      <c r="C13" s="259"/>
      <c r="D13" s="260"/>
      <c r="E13" s="259"/>
      <c r="F13" s="260"/>
    </row>
    <row r="14" spans="1:6" x14ac:dyDescent="0.25">
      <c r="A14" s="653" t="s">
        <v>70</v>
      </c>
      <c r="B14" s="653"/>
      <c r="C14" s="262">
        <v>0.03</v>
      </c>
      <c r="D14" s="260"/>
      <c r="E14" s="262">
        <v>0.02</v>
      </c>
      <c r="F14" s="260"/>
    </row>
    <row r="15" spans="1:6" x14ac:dyDescent="0.25">
      <c r="A15" s="263" t="s">
        <v>71</v>
      </c>
      <c r="B15" s="264"/>
      <c r="C15" s="265"/>
      <c r="D15" s="203"/>
      <c r="E15" s="265"/>
      <c r="F15" s="203"/>
    </row>
    <row r="16" spans="1:6" x14ac:dyDescent="0.25">
      <c r="A16" s="653" t="s">
        <v>72</v>
      </c>
      <c r="B16" s="653"/>
      <c r="C16" s="266">
        <v>1000</v>
      </c>
      <c r="D16" s="203"/>
      <c r="E16" s="266">
        <v>950</v>
      </c>
      <c r="F16" s="203"/>
    </row>
    <row r="17" spans="1:6" x14ac:dyDescent="0.25">
      <c r="A17" s="653" t="s">
        <v>73</v>
      </c>
      <c r="B17" s="653"/>
      <c r="C17" s="265"/>
      <c r="D17" s="203"/>
      <c r="E17" s="265"/>
      <c r="F17" s="203"/>
    </row>
    <row r="18" spans="1:6" x14ac:dyDescent="0.25">
      <c r="A18" s="203"/>
      <c r="B18" s="203"/>
      <c r="C18" s="203"/>
      <c r="D18" s="203"/>
      <c r="E18" s="203"/>
      <c r="F18" s="203"/>
    </row>
    <row r="19" spans="1:6" x14ac:dyDescent="0.25">
      <c r="A19" s="203"/>
      <c r="B19" s="203"/>
      <c r="C19" s="203"/>
      <c r="D19" s="203"/>
      <c r="E19" s="203"/>
      <c r="F19" s="203"/>
    </row>
    <row r="20" spans="1:6" x14ac:dyDescent="0.25">
      <c r="A20" s="17" t="s">
        <v>687</v>
      </c>
      <c r="B20" s="226"/>
      <c r="C20" s="203"/>
      <c r="D20" s="203"/>
      <c r="E20" s="203"/>
      <c r="F20" s="203"/>
    </row>
    <row r="21" spans="1:6" x14ac:dyDescent="0.25">
      <c r="A21" s="203"/>
      <c r="B21" s="203"/>
      <c r="C21" s="203"/>
      <c r="D21" s="203"/>
      <c r="E21" s="203"/>
      <c r="F21" s="203"/>
    </row>
    <row r="22" spans="1:6" x14ac:dyDescent="0.25">
      <c r="A22" s="203"/>
      <c r="B22" s="203"/>
      <c r="C22" s="654" t="str">
        <f>+C9</f>
        <v>Adams Technik GmbH</v>
      </c>
      <c r="D22" s="654"/>
      <c r="E22" s="654" t="str">
        <f>+E9</f>
        <v xml:space="preserve"> Prowert GmbH &amp; Co. KG</v>
      </c>
      <c r="F22" s="654"/>
    </row>
    <row r="23" spans="1:6" ht="25.5" x14ac:dyDescent="0.25">
      <c r="A23" s="267" t="s">
        <v>74</v>
      </c>
      <c r="B23" s="268" t="s">
        <v>75</v>
      </c>
      <c r="C23" s="269" t="s">
        <v>76</v>
      </c>
      <c r="D23" s="269" t="s">
        <v>77</v>
      </c>
      <c r="E23" s="269" t="s">
        <v>76</v>
      </c>
      <c r="F23" s="269" t="s">
        <v>77</v>
      </c>
    </row>
    <row r="24" spans="1:6" x14ac:dyDescent="0.25">
      <c r="A24" s="270" t="s">
        <v>78</v>
      </c>
      <c r="B24" s="255">
        <v>40</v>
      </c>
      <c r="C24" s="271">
        <v>7</v>
      </c>
      <c r="D24" s="203"/>
      <c r="E24" s="271">
        <v>5</v>
      </c>
      <c r="F24" s="203"/>
    </row>
    <row r="25" spans="1:6" x14ac:dyDescent="0.25">
      <c r="A25" s="270" t="s">
        <v>79</v>
      </c>
      <c r="B25" s="255">
        <v>25</v>
      </c>
      <c r="C25" s="271">
        <v>8</v>
      </c>
      <c r="D25" s="203"/>
      <c r="E25" s="271">
        <v>9</v>
      </c>
      <c r="F25" s="203"/>
    </row>
    <row r="26" spans="1:6" x14ac:dyDescent="0.25">
      <c r="A26" s="270" t="s">
        <v>80</v>
      </c>
      <c r="B26" s="255">
        <v>15</v>
      </c>
      <c r="C26" s="271">
        <v>5</v>
      </c>
      <c r="D26" s="203"/>
      <c r="E26" s="271">
        <v>8</v>
      </c>
      <c r="F26" s="203"/>
    </row>
    <row r="27" spans="1:6" x14ac:dyDescent="0.25">
      <c r="A27" s="270" t="s">
        <v>81</v>
      </c>
      <c r="B27" s="255">
        <v>10</v>
      </c>
      <c r="C27" s="271">
        <v>7</v>
      </c>
      <c r="D27" s="203"/>
      <c r="E27" s="271">
        <v>7</v>
      </c>
      <c r="F27" s="203"/>
    </row>
    <row r="28" spans="1:6" x14ac:dyDescent="0.25">
      <c r="A28" s="270" t="s">
        <v>82</v>
      </c>
      <c r="B28" s="255">
        <v>5</v>
      </c>
      <c r="C28" s="272">
        <v>2</v>
      </c>
      <c r="D28" s="203"/>
      <c r="E28" s="272">
        <v>4</v>
      </c>
      <c r="F28" s="203"/>
    </row>
    <row r="29" spans="1:6" x14ac:dyDescent="0.25">
      <c r="A29" s="270" t="s">
        <v>83</v>
      </c>
      <c r="B29" s="255">
        <v>5</v>
      </c>
      <c r="C29" s="272">
        <v>4</v>
      </c>
      <c r="D29" s="203"/>
      <c r="E29" s="272">
        <v>6</v>
      </c>
      <c r="F29" s="203"/>
    </row>
    <row r="30" spans="1:6" x14ac:dyDescent="0.25">
      <c r="A30" s="270" t="s">
        <v>45</v>
      </c>
      <c r="B30" s="255">
        <f>SUM(B24:B29)</f>
        <v>100</v>
      </c>
      <c r="C30" s="203"/>
      <c r="D30" s="203"/>
      <c r="E30" s="203"/>
      <c r="F30" s="203"/>
    </row>
    <row r="33" spans="1:7" x14ac:dyDescent="0.25">
      <c r="A33" s="52" t="s">
        <v>242</v>
      </c>
    </row>
    <row r="34" spans="1:7" x14ac:dyDescent="0.25">
      <c r="A34" s="52" t="s">
        <v>689</v>
      </c>
    </row>
    <row r="35" spans="1:7" x14ac:dyDescent="0.25">
      <c r="A35" s="52" t="s">
        <v>243</v>
      </c>
    </row>
    <row r="36" spans="1:7" x14ac:dyDescent="0.25">
      <c r="A36" s="52" t="s">
        <v>573</v>
      </c>
    </row>
    <row r="37" spans="1:7" ht="30" customHeight="1" x14ac:dyDescent="0.25">
      <c r="A37" s="645" t="s">
        <v>576</v>
      </c>
      <c r="B37" s="645"/>
      <c r="C37" s="645"/>
      <c r="D37" s="645"/>
      <c r="E37" s="645"/>
      <c r="F37" s="645"/>
      <c r="G37" s="645"/>
    </row>
    <row r="38" spans="1:7" x14ac:dyDescent="0.25">
      <c r="A38" s="52" t="s">
        <v>574</v>
      </c>
    </row>
    <row r="39" spans="1:7" ht="15.75" thickBot="1" x14ac:dyDescent="0.3">
      <c r="A39" s="52" t="s">
        <v>244</v>
      </c>
    </row>
    <row r="40" spans="1:7" x14ac:dyDescent="0.25">
      <c r="A40" s="103"/>
      <c r="B40" s="104"/>
      <c r="C40" s="104"/>
      <c r="D40" s="104"/>
      <c r="E40" s="104"/>
      <c r="F40" s="104"/>
      <c r="G40" s="105"/>
    </row>
    <row r="41" spans="1:7" x14ac:dyDescent="0.25">
      <c r="A41" s="106"/>
      <c r="G41" s="107"/>
    </row>
    <row r="42" spans="1:7" x14ac:dyDescent="0.25">
      <c r="A42" s="106"/>
      <c r="G42" s="107"/>
    </row>
    <row r="43" spans="1:7" x14ac:dyDescent="0.25">
      <c r="A43" s="106"/>
      <c r="G43" s="107"/>
    </row>
    <row r="44" spans="1:7" x14ac:dyDescent="0.25">
      <c r="A44" s="106"/>
      <c r="G44" s="107"/>
    </row>
    <row r="45" spans="1:7" x14ac:dyDescent="0.25">
      <c r="A45" s="106"/>
      <c r="G45" s="107"/>
    </row>
    <row r="46" spans="1:7" x14ac:dyDescent="0.25">
      <c r="A46" s="106"/>
      <c r="G46" s="107"/>
    </row>
    <row r="47" spans="1:7" x14ac:dyDescent="0.25">
      <c r="A47" s="106"/>
      <c r="G47" s="107"/>
    </row>
    <row r="48" spans="1:7" x14ac:dyDescent="0.25">
      <c r="A48" s="106"/>
      <c r="G48" s="107"/>
    </row>
    <row r="49" spans="1:7" x14ac:dyDescent="0.25">
      <c r="A49" s="106"/>
      <c r="B49" t="s">
        <v>575</v>
      </c>
      <c r="G49" s="107"/>
    </row>
    <row r="50" spans="1:7" x14ac:dyDescent="0.25">
      <c r="A50" s="106"/>
      <c r="G50" s="107"/>
    </row>
    <row r="51" spans="1:7" x14ac:dyDescent="0.25">
      <c r="A51" s="106"/>
      <c r="G51" s="107"/>
    </row>
    <row r="52" spans="1:7" x14ac:dyDescent="0.25">
      <c r="A52" s="106"/>
      <c r="G52" s="107"/>
    </row>
    <row r="53" spans="1:7" x14ac:dyDescent="0.25">
      <c r="A53" s="106"/>
      <c r="G53" s="107"/>
    </row>
    <row r="54" spans="1:7" x14ac:dyDescent="0.25">
      <c r="A54" s="106"/>
      <c r="G54" s="107"/>
    </row>
    <row r="55" spans="1:7" x14ac:dyDescent="0.25">
      <c r="A55" s="106"/>
      <c r="G55" s="107"/>
    </row>
    <row r="56" spans="1:7" x14ac:dyDescent="0.25">
      <c r="A56" s="106"/>
      <c r="G56" s="107"/>
    </row>
    <row r="57" spans="1:7" x14ac:dyDescent="0.25">
      <c r="A57" s="106"/>
      <c r="G57" s="107"/>
    </row>
    <row r="58" spans="1:7" x14ac:dyDescent="0.25">
      <c r="A58" s="106"/>
      <c r="G58" s="107"/>
    </row>
    <row r="59" spans="1:7" x14ac:dyDescent="0.25">
      <c r="A59" s="106"/>
      <c r="G59" s="107"/>
    </row>
    <row r="60" spans="1:7" ht="15.75" thickBot="1" x14ac:dyDescent="0.3">
      <c r="A60" s="108"/>
      <c r="B60" s="109"/>
      <c r="C60" s="109"/>
      <c r="D60" s="109"/>
      <c r="E60" s="109"/>
      <c r="F60" s="109"/>
      <c r="G60" s="110"/>
    </row>
  </sheetData>
  <mergeCells count="11">
    <mergeCell ref="A37:G37"/>
    <mergeCell ref="A16:B16"/>
    <mergeCell ref="A17:B17"/>
    <mergeCell ref="C22:D22"/>
    <mergeCell ref="E22:F22"/>
    <mergeCell ref="A14:B14"/>
    <mergeCell ref="C9:D9"/>
    <mergeCell ref="E9:F9"/>
    <mergeCell ref="A11:B11"/>
    <mergeCell ref="A12:B12"/>
    <mergeCell ref="A13:B13"/>
  </mergeCells>
  <pageMargins left="0.70866141732283472" right="0.70866141732283472" top="0.78740157480314965" bottom="0.78740157480314965" header="0.31496062992125984" footer="0.31496062992125984"/>
  <pageSetup paperSize="9" scale="7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0"/>
  <sheetViews>
    <sheetView zoomScaleNormal="100" workbookViewId="0"/>
  </sheetViews>
  <sheetFormatPr baseColWidth="10" defaultRowHeight="15" x14ac:dyDescent="0.25"/>
  <cols>
    <col min="1" max="1" width="24.28515625" customWidth="1"/>
    <col min="2" max="2" width="13.28515625" customWidth="1"/>
    <col min="3" max="3" width="13.140625" customWidth="1"/>
    <col min="4" max="4" width="17.42578125" customWidth="1"/>
    <col min="5" max="5" width="15.140625" customWidth="1"/>
    <col min="6" max="6" width="20.5703125" customWidth="1"/>
  </cols>
  <sheetData>
    <row r="1" spans="1:6" ht="21" x14ac:dyDescent="0.35">
      <c r="A1" s="162" t="s">
        <v>61</v>
      </c>
      <c r="B1" s="615" t="s">
        <v>1269</v>
      </c>
      <c r="C1" s="615"/>
      <c r="D1" s="615"/>
    </row>
    <row r="2" spans="1:6" ht="18" x14ac:dyDescent="0.25">
      <c r="A2" s="16"/>
      <c r="B2" s="16"/>
    </row>
    <row r="3" spans="1:6" ht="23.25" x14ac:dyDescent="0.35">
      <c r="A3" s="301" t="s">
        <v>686</v>
      </c>
    </row>
    <row r="4" spans="1:6" ht="15.75" x14ac:dyDescent="0.25">
      <c r="B4" s="8"/>
    </row>
    <row r="5" spans="1:6" x14ac:dyDescent="0.25">
      <c r="A5" s="1"/>
      <c r="B5" s="1"/>
      <c r="C5" s="1"/>
      <c r="D5" s="1"/>
      <c r="E5" s="1"/>
      <c r="F5" s="1"/>
    </row>
    <row r="6" spans="1:6" x14ac:dyDescent="0.25">
      <c r="A6" s="1"/>
      <c r="B6" s="1"/>
      <c r="C6" s="1"/>
      <c r="D6" s="1"/>
      <c r="E6" s="1"/>
      <c r="F6" s="1"/>
    </row>
    <row r="7" spans="1:6" x14ac:dyDescent="0.25">
      <c r="A7" s="17" t="s">
        <v>688</v>
      </c>
      <c r="B7" s="17"/>
      <c r="C7" s="1"/>
      <c r="D7" s="1"/>
      <c r="E7" s="1"/>
      <c r="F7" s="1"/>
    </row>
    <row r="8" spans="1:6" x14ac:dyDescent="0.25">
      <c r="A8" s="1"/>
      <c r="B8" s="1"/>
      <c r="C8" s="1"/>
      <c r="D8" s="1"/>
      <c r="E8" s="1"/>
      <c r="F8" s="1"/>
    </row>
    <row r="9" spans="1:6" x14ac:dyDescent="0.25">
      <c r="A9" s="1"/>
      <c r="B9" s="1"/>
      <c r="C9" s="657" t="s">
        <v>230</v>
      </c>
      <c r="D9" s="657"/>
      <c r="E9" s="657" t="s">
        <v>231</v>
      </c>
      <c r="F9" s="657"/>
    </row>
    <row r="10" spans="1:6" x14ac:dyDescent="0.25">
      <c r="A10" s="19"/>
      <c r="B10" s="19"/>
      <c r="C10" s="20" t="s">
        <v>66</v>
      </c>
      <c r="D10" s="20" t="s">
        <v>241</v>
      </c>
      <c r="E10" s="20" t="s">
        <v>66</v>
      </c>
      <c r="F10" s="20" t="s">
        <v>241</v>
      </c>
    </row>
    <row r="11" spans="1:6" x14ac:dyDescent="0.25">
      <c r="A11" s="658" t="s">
        <v>67</v>
      </c>
      <c r="B11" s="658"/>
      <c r="C11" s="41">
        <v>81450</v>
      </c>
      <c r="D11" s="37">
        <f>+C11</f>
        <v>81450</v>
      </c>
      <c r="E11" s="41">
        <v>91200</v>
      </c>
      <c r="F11" s="37">
        <f>+E11</f>
        <v>91200</v>
      </c>
    </row>
    <row r="12" spans="1:6" x14ac:dyDescent="0.25">
      <c r="A12" s="656" t="s">
        <v>68</v>
      </c>
      <c r="B12" s="656"/>
      <c r="C12" s="42">
        <v>0.1</v>
      </c>
      <c r="D12" s="37">
        <f>+D11*C12</f>
        <v>8145</v>
      </c>
      <c r="E12" s="43">
        <v>0.05</v>
      </c>
      <c r="F12" s="37">
        <f>+F11*E12</f>
        <v>4560</v>
      </c>
    </row>
    <row r="13" spans="1:6" x14ac:dyDescent="0.25">
      <c r="A13" s="656" t="s">
        <v>69</v>
      </c>
      <c r="B13" s="656"/>
      <c r="C13" s="41"/>
      <c r="D13" s="37">
        <f>+D11-D12</f>
        <v>73305</v>
      </c>
      <c r="E13" s="41"/>
      <c r="F13" s="37">
        <f>+F11-F12</f>
        <v>86640</v>
      </c>
    </row>
    <row r="14" spans="1:6" x14ac:dyDescent="0.25">
      <c r="A14" s="656" t="s">
        <v>70</v>
      </c>
      <c r="B14" s="656"/>
      <c r="C14" s="43">
        <v>0.03</v>
      </c>
      <c r="D14" s="37">
        <f>+D13*C14</f>
        <v>2199.15</v>
      </c>
      <c r="E14" s="43">
        <v>0.02</v>
      </c>
      <c r="F14" s="37">
        <f>+F13*E14</f>
        <v>1732.8</v>
      </c>
    </row>
    <row r="15" spans="1:6" x14ac:dyDescent="0.25">
      <c r="A15" s="80" t="s">
        <v>71</v>
      </c>
      <c r="B15" s="21"/>
      <c r="C15" s="44"/>
      <c r="D15" s="99">
        <f>+D13-D14</f>
        <v>71105.850000000006</v>
      </c>
      <c r="E15" s="44"/>
      <c r="F15" s="99">
        <f>+F13-F14</f>
        <v>84907.199999999997</v>
      </c>
    </row>
    <row r="16" spans="1:6" x14ac:dyDescent="0.25">
      <c r="A16" s="656" t="s">
        <v>72</v>
      </c>
      <c r="B16" s="656"/>
      <c r="C16" s="45">
        <v>1000</v>
      </c>
      <c r="D16" s="100">
        <f>+C16</f>
        <v>1000</v>
      </c>
      <c r="E16" s="45">
        <v>950</v>
      </c>
      <c r="F16" s="100">
        <f>+E16</f>
        <v>950</v>
      </c>
    </row>
    <row r="17" spans="1:6" ht="15.75" x14ac:dyDescent="0.25">
      <c r="A17" s="656" t="s">
        <v>73</v>
      </c>
      <c r="B17" s="656"/>
      <c r="C17" s="44"/>
      <c r="D17" s="102">
        <f>+D15+D16</f>
        <v>72105.850000000006</v>
      </c>
      <c r="E17" s="44"/>
      <c r="F17" s="102">
        <f>+F15+F16</f>
        <v>85857.2</v>
      </c>
    </row>
    <row r="18" spans="1:6" x14ac:dyDescent="0.25">
      <c r="A18" s="1"/>
      <c r="B18" s="1"/>
      <c r="C18" s="1"/>
      <c r="D18" s="1"/>
      <c r="E18" s="1"/>
      <c r="F18" s="1"/>
    </row>
    <row r="19" spans="1:6" x14ac:dyDescent="0.25">
      <c r="A19" s="1"/>
      <c r="B19" s="1"/>
      <c r="C19" s="1"/>
      <c r="D19" s="1"/>
      <c r="E19" s="1"/>
      <c r="F19" s="1"/>
    </row>
    <row r="20" spans="1:6" x14ac:dyDescent="0.25">
      <c r="A20" s="17" t="s">
        <v>687</v>
      </c>
      <c r="B20" s="17"/>
      <c r="C20" s="1"/>
      <c r="D20" s="1"/>
      <c r="E20" s="1"/>
      <c r="F20" s="1"/>
    </row>
    <row r="21" spans="1:6" x14ac:dyDescent="0.25">
      <c r="A21" s="1"/>
      <c r="B21" s="1"/>
      <c r="C21" s="1"/>
      <c r="D21" s="1"/>
      <c r="E21" s="1"/>
      <c r="F21" s="1"/>
    </row>
    <row r="22" spans="1:6" x14ac:dyDescent="0.25">
      <c r="A22" s="1"/>
      <c r="B22" s="1"/>
      <c r="C22" s="657" t="str">
        <f>+C9</f>
        <v>Adams Technik GmbH</v>
      </c>
      <c r="D22" s="657"/>
      <c r="E22" s="657" t="str">
        <f>+E9</f>
        <v xml:space="preserve"> Prowert GmbH &amp; Co. KG</v>
      </c>
      <c r="F22" s="657"/>
    </row>
    <row r="23" spans="1:6" ht="25.5" x14ac:dyDescent="0.25">
      <c r="A23" s="22" t="s">
        <v>74</v>
      </c>
      <c r="B23" s="23" t="s">
        <v>75</v>
      </c>
      <c r="C23" s="24" t="s">
        <v>76</v>
      </c>
      <c r="D23" s="24" t="s">
        <v>77</v>
      </c>
      <c r="E23" s="24" t="s">
        <v>76</v>
      </c>
      <c r="F23" s="24" t="s">
        <v>77</v>
      </c>
    </row>
    <row r="24" spans="1:6" x14ac:dyDescent="0.25">
      <c r="A24" s="25" t="s">
        <v>78</v>
      </c>
      <c r="B24" s="11">
        <v>40</v>
      </c>
      <c r="C24" s="595">
        <v>7</v>
      </c>
      <c r="D24" s="101">
        <f>+C24*$B24/100</f>
        <v>2.8</v>
      </c>
      <c r="E24" s="595">
        <v>5</v>
      </c>
      <c r="F24" s="101">
        <f>+E24*$B24/100</f>
        <v>2</v>
      </c>
    </row>
    <row r="25" spans="1:6" x14ac:dyDescent="0.25">
      <c r="A25" s="25" t="s">
        <v>79</v>
      </c>
      <c r="B25" s="11">
        <v>25</v>
      </c>
      <c r="C25" s="595">
        <v>8</v>
      </c>
      <c r="D25" s="101">
        <f t="shared" ref="D25:F29" si="0">+C25*$B25/100</f>
        <v>2</v>
      </c>
      <c r="E25" s="595">
        <v>9</v>
      </c>
      <c r="F25" s="101">
        <f t="shared" si="0"/>
        <v>2.25</v>
      </c>
    </row>
    <row r="26" spans="1:6" x14ac:dyDescent="0.25">
      <c r="A26" s="25" t="s">
        <v>80</v>
      </c>
      <c r="B26" s="11">
        <v>15</v>
      </c>
      <c r="C26" s="595">
        <v>5</v>
      </c>
      <c r="D26" s="101">
        <f t="shared" si="0"/>
        <v>0.75</v>
      </c>
      <c r="E26" s="595">
        <v>8</v>
      </c>
      <c r="F26" s="101">
        <f t="shared" si="0"/>
        <v>1.2</v>
      </c>
    </row>
    <row r="27" spans="1:6" x14ac:dyDescent="0.25">
      <c r="A27" s="25" t="s">
        <v>81</v>
      </c>
      <c r="B27" s="11">
        <v>10</v>
      </c>
      <c r="C27" s="595">
        <v>7</v>
      </c>
      <c r="D27" s="101">
        <f t="shared" si="0"/>
        <v>0.7</v>
      </c>
      <c r="E27" s="595">
        <v>7</v>
      </c>
      <c r="F27" s="101">
        <f t="shared" si="0"/>
        <v>0.7</v>
      </c>
    </row>
    <row r="28" spans="1:6" x14ac:dyDescent="0.25">
      <c r="A28" s="25" t="s">
        <v>82</v>
      </c>
      <c r="B28" s="11">
        <v>5</v>
      </c>
      <c r="C28" s="596">
        <v>2</v>
      </c>
      <c r="D28" s="101">
        <f t="shared" si="0"/>
        <v>0.1</v>
      </c>
      <c r="E28" s="596">
        <v>4</v>
      </c>
      <c r="F28" s="101">
        <f t="shared" si="0"/>
        <v>0.2</v>
      </c>
    </row>
    <row r="29" spans="1:6" x14ac:dyDescent="0.25">
      <c r="A29" s="25" t="s">
        <v>83</v>
      </c>
      <c r="B29" s="11">
        <v>5</v>
      </c>
      <c r="C29" s="596">
        <v>4</v>
      </c>
      <c r="D29" s="101">
        <f t="shared" si="0"/>
        <v>0.2</v>
      </c>
      <c r="E29" s="596">
        <v>6</v>
      </c>
      <c r="F29" s="101">
        <f t="shared" si="0"/>
        <v>0.3</v>
      </c>
    </row>
    <row r="30" spans="1:6" x14ac:dyDescent="0.25">
      <c r="A30" s="25" t="s">
        <v>45</v>
      </c>
      <c r="B30" s="11">
        <f>SUM(B24:B29)</f>
        <v>100</v>
      </c>
      <c r="C30" s="1"/>
      <c r="D30" s="101">
        <f>SUM(D24:D29)</f>
        <v>6.55</v>
      </c>
      <c r="E30" s="1"/>
      <c r="F30" s="101">
        <f>SUM(F24:F29)</f>
        <v>6.65</v>
      </c>
    </row>
    <row r="33" spans="1:8" x14ac:dyDescent="0.25">
      <c r="A33" s="52" t="s">
        <v>242</v>
      </c>
    </row>
    <row r="34" spans="1:8" x14ac:dyDescent="0.25">
      <c r="A34" s="52" t="s">
        <v>689</v>
      </c>
      <c r="H34" s="10" t="s">
        <v>692</v>
      </c>
    </row>
    <row r="35" spans="1:8" x14ac:dyDescent="0.25">
      <c r="A35" s="52" t="s">
        <v>243</v>
      </c>
      <c r="H35" t="s">
        <v>693</v>
      </c>
    </row>
    <row r="36" spans="1:8" x14ac:dyDescent="0.25">
      <c r="A36" s="52" t="s">
        <v>573</v>
      </c>
      <c r="H36" t="s">
        <v>690</v>
      </c>
    </row>
    <row r="37" spans="1:8" ht="30" customHeight="1" x14ac:dyDescent="0.25">
      <c r="A37" s="645" t="s">
        <v>576</v>
      </c>
      <c r="B37" s="645"/>
      <c r="C37" s="645"/>
      <c r="D37" s="645"/>
      <c r="E37" s="645"/>
      <c r="F37" s="645"/>
      <c r="G37" s="645"/>
      <c r="H37" s="315" t="s">
        <v>691</v>
      </c>
    </row>
    <row r="38" spans="1:8" x14ac:dyDescent="0.25">
      <c r="A38" s="52" t="s">
        <v>574</v>
      </c>
    </row>
    <row r="39" spans="1:8" ht="15.75" thickBot="1" x14ac:dyDescent="0.3">
      <c r="A39" s="52" t="s">
        <v>244</v>
      </c>
    </row>
    <row r="40" spans="1:8" x14ac:dyDescent="0.25">
      <c r="A40" s="103"/>
      <c r="B40" s="104"/>
      <c r="C40" s="104"/>
      <c r="D40" s="104"/>
      <c r="E40" s="104"/>
      <c r="F40" s="105"/>
    </row>
    <row r="41" spans="1:8" x14ac:dyDescent="0.25">
      <c r="A41" s="106"/>
      <c r="F41" s="107"/>
    </row>
    <row r="42" spans="1:8" x14ac:dyDescent="0.25">
      <c r="A42" s="106"/>
      <c r="F42" s="107"/>
    </row>
    <row r="43" spans="1:8" x14ac:dyDescent="0.25">
      <c r="A43" s="106"/>
      <c r="F43" s="107"/>
    </row>
    <row r="44" spans="1:8" x14ac:dyDescent="0.25">
      <c r="A44" s="106"/>
      <c r="F44" s="107"/>
    </row>
    <row r="45" spans="1:8" x14ac:dyDescent="0.25">
      <c r="A45" s="106"/>
      <c r="F45" s="107"/>
    </row>
    <row r="46" spans="1:8" x14ac:dyDescent="0.25">
      <c r="A46" s="106"/>
      <c r="F46" s="107"/>
    </row>
    <row r="47" spans="1:8" x14ac:dyDescent="0.25">
      <c r="A47" s="106"/>
      <c r="F47" s="107"/>
    </row>
    <row r="48" spans="1:8" x14ac:dyDescent="0.25">
      <c r="A48" s="106"/>
      <c r="F48" s="107"/>
    </row>
    <row r="49" spans="1:6" x14ac:dyDescent="0.25">
      <c r="A49" s="106"/>
      <c r="F49" s="107"/>
    </row>
    <row r="50" spans="1:6" x14ac:dyDescent="0.25">
      <c r="A50" s="106"/>
      <c r="F50" s="107"/>
    </row>
    <row r="51" spans="1:6" x14ac:dyDescent="0.25">
      <c r="A51" s="106"/>
      <c r="F51" s="107"/>
    </row>
    <row r="52" spans="1:6" x14ac:dyDescent="0.25">
      <c r="A52" s="106"/>
      <c r="F52" s="107"/>
    </row>
    <row r="53" spans="1:6" x14ac:dyDescent="0.25">
      <c r="A53" s="106"/>
      <c r="F53" s="107"/>
    </row>
    <row r="54" spans="1:6" x14ac:dyDescent="0.25">
      <c r="A54" s="106"/>
      <c r="F54" s="107"/>
    </row>
    <row r="55" spans="1:6" x14ac:dyDescent="0.25">
      <c r="A55" s="106"/>
      <c r="F55" s="107"/>
    </row>
    <row r="56" spans="1:6" x14ac:dyDescent="0.25">
      <c r="A56" s="106"/>
      <c r="F56" s="107"/>
    </row>
    <row r="57" spans="1:6" x14ac:dyDescent="0.25">
      <c r="A57" s="106"/>
      <c r="F57" s="107"/>
    </row>
    <row r="58" spans="1:6" x14ac:dyDescent="0.25">
      <c r="A58" s="106"/>
      <c r="F58" s="107"/>
    </row>
    <row r="59" spans="1:6" x14ac:dyDescent="0.25">
      <c r="A59" s="106"/>
      <c r="F59" s="107"/>
    </row>
    <row r="60" spans="1:6" ht="15.75" thickBot="1" x14ac:dyDescent="0.3">
      <c r="A60" s="108"/>
      <c r="B60" s="109"/>
      <c r="C60" s="109"/>
      <c r="D60" s="109"/>
      <c r="E60" s="109"/>
      <c r="F60" s="110"/>
    </row>
  </sheetData>
  <mergeCells count="11">
    <mergeCell ref="A16:B16"/>
    <mergeCell ref="A17:B17"/>
    <mergeCell ref="C22:D22"/>
    <mergeCell ref="E22:F22"/>
    <mergeCell ref="A37:G37"/>
    <mergeCell ref="A14:B14"/>
    <mergeCell ref="C9:D9"/>
    <mergeCell ref="E9:F9"/>
    <mergeCell ref="A11:B11"/>
    <mergeCell ref="A12:B12"/>
    <mergeCell ref="A13:B13"/>
  </mergeCells>
  <pageMargins left="0.7" right="0.7" top="0.78740157499999996" bottom="0.78740157499999996" header="0.3" footer="0.3"/>
  <pageSetup paperSize="9" scale="5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42"/>
  <sheetViews>
    <sheetView zoomScaleNormal="100" workbookViewId="0"/>
  </sheetViews>
  <sheetFormatPr baseColWidth="10" defaultColWidth="11.42578125" defaultRowHeight="15" x14ac:dyDescent="0.25"/>
  <cols>
    <col min="1" max="1" width="26.7109375" customWidth="1"/>
    <col min="7" max="10" width="12.5703125" customWidth="1"/>
  </cols>
  <sheetData>
    <row r="1" spans="1:6" ht="21" x14ac:dyDescent="0.35">
      <c r="A1" s="162" t="s">
        <v>145</v>
      </c>
      <c r="B1" s="618" t="s">
        <v>1301</v>
      </c>
      <c r="C1" s="620"/>
      <c r="D1" s="615"/>
    </row>
    <row r="3" spans="1:6" x14ac:dyDescent="0.25">
      <c r="A3" s="300" t="s">
        <v>703</v>
      </c>
    </row>
    <row r="5" spans="1:6" ht="24" customHeight="1" x14ac:dyDescent="0.25">
      <c r="B5" t="s">
        <v>23</v>
      </c>
      <c r="C5" t="s">
        <v>24</v>
      </c>
      <c r="D5" t="s">
        <v>25</v>
      </c>
      <c r="E5" t="s">
        <v>26</v>
      </c>
      <c r="F5" t="s">
        <v>27</v>
      </c>
    </row>
    <row r="6" spans="1:6" x14ac:dyDescent="0.25">
      <c r="A6" t="s">
        <v>695</v>
      </c>
      <c r="B6">
        <v>631419</v>
      </c>
      <c r="C6">
        <v>695867</v>
      </c>
      <c r="D6">
        <v>668467</v>
      </c>
      <c r="E6">
        <v>634669</v>
      </c>
      <c r="F6">
        <v>601530</v>
      </c>
    </row>
    <row r="7" spans="1:6" x14ac:dyDescent="0.25">
      <c r="A7" t="s">
        <v>696</v>
      </c>
      <c r="B7">
        <v>369191</v>
      </c>
      <c r="C7">
        <v>410803</v>
      </c>
      <c r="D7">
        <v>439079</v>
      </c>
      <c r="E7">
        <v>490690</v>
      </c>
      <c r="F7">
        <v>526134</v>
      </c>
    </row>
    <row r="8" spans="1:6" x14ac:dyDescent="0.25">
      <c r="A8" t="s">
        <v>697</v>
      </c>
      <c r="B8">
        <v>220372</v>
      </c>
      <c r="C8">
        <v>246660</v>
      </c>
      <c r="D8">
        <v>210335</v>
      </c>
      <c r="E8">
        <v>200695</v>
      </c>
      <c r="F8">
        <v>200694</v>
      </c>
    </row>
    <row r="9" spans="1:6" x14ac:dyDescent="0.25">
      <c r="A9" t="s">
        <v>698</v>
      </c>
      <c r="B9">
        <v>489500</v>
      </c>
      <c r="C9">
        <v>489000</v>
      </c>
      <c r="D9">
        <v>489000</v>
      </c>
      <c r="E9">
        <v>368750</v>
      </c>
      <c r="F9">
        <v>368750</v>
      </c>
    </row>
    <row r="10" spans="1:6" x14ac:dyDescent="0.25">
      <c r="A10" t="s">
        <v>63</v>
      </c>
      <c r="B10">
        <v>921340</v>
      </c>
      <c r="C10">
        <v>991543</v>
      </c>
      <c r="D10">
        <v>1025421</v>
      </c>
      <c r="E10">
        <v>1050333</v>
      </c>
      <c r="F10">
        <v>1080645</v>
      </c>
    </row>
    <row r="11" spans="1:6" x14ac:dyDescent="0.25">
      <c r="A11" t="s">
        <v>699</v>
      </c>
      <c r="B11">
        <v>64000</v>
      </c>
      <c r="C11">
        <v>64000</v>
      </c>
      <c r="D11">
        <v>64000</v>
      </c>
      <c r="E11">
        <v>79500</v>
      </c>
      <c r="F11">
        <v>79500</v>
      </c>
    </row>
    <row r="12" spans="1:6" x14ac:dyDescent="0.25">
      <c r="A12" t="s">
        <v>64</v>
      </c>
      <c r="B12">
        <v>3467</v>
      </c>
      <c r="C12">
        <v>4000</v>
      </c>
      <c r="D12">
        <v>3476</v>
      </c>
      <c r="E12">
        <v>5219</v>
      </c>
      <c r="F12">
        <v>2042</v>
      </c>
    </row>
    <row r="15" spans="1:6" x14ac:dyDescent="0.25">
      <c r="A15" s="52" t="s">
        <v>694</v>
      </c>
    </row>
    <row r="16" spans="1:6" x14ac:dyDescent="0.25">
      <c r="A16" s="52" t="s">
        <v>245</v>
      </c>
    </row>
    <row r="17" spans="1:8" x14ac:dyDescent="0.25">
      <c r="A17" s="52" t="s">
        <v>246</v>
      </c>
    </row>
    <row r="18" spans="1:8" x14ac:dyDescent="0.25">
      <c r="A18" s="52" t="s">
        <v>578</v>
      </c>
    </row>
    <row r="19" spans="1:8" x14ac:dyDescent="0.25">
      <c r="A19" s="52" t="s">
        <v>700</v>
      </c>
    </row>
    <row r="20" spans="1:8" x14ac:dyDescent="0.25">
      <c r="A20" s="52" t="s">
        <v>247</v>
      </c>
    </row>
    <row r="21" spans="1:8" x14ac:dyDescent="0.25">
      <c r="A21" s="52" t="s">
        <v>579</v>
      </c>
    </row>
    <row r="22" spans="1:8" x14ac:dyDescent="0.25">
      <c r="A22" s="52" t="s">
        <v>702</v>
      </c>
    </row>
    <row r="23" spans="1:8" ht="32.25" customHeight="1" x14ac:dyDescent="0.25">
      <c r="A23" s="645" t="s">
        <v>581</v>
      </c>
      <c r="B23" s="645"/>
      <c r="C23" s="645"/>
      <c r="D23" s="645"/>
      <c r="E23" s="645"/>
      <c r="F23" s="645"/>
      <c r="G23" s="645"/>
      <c r="H23" s="645"/>
    </row>
    <row r="24" spans="1:8" x14ac:dyDescent="0.25">
      <c r="A24" s="52" t="s">
        <v>248</v>
      </c>
    </row>
    <row r="25" spans="1:8" ht="15.75" thickBot="1" x14ac:dyDescent="0.3"/>
    <row r="26" spans="1:8" x14ac:dyDescent="0.25">
      <c r="A26" s="103"/>
      <c r="B26" s="104"/>
      <c r="C26" s="104"/>
      <c r="D26" s="104"/>
      <c r="E26" s="104"/>
      <c r="F26" s="104"/>
      <c r="G26" s="104"/>
      <c r="H26" s="105"/>
    </row>
    <row r="27" spans="1:8" x14ac:dyDescent="0.25">
      <c r="A27" s="106"/>
      <c r="H27" s="107"/>
    </row>
    <row r="28" spans="1:8" x14ac:dyDescent="0.25">
      <c r="A28" s="106"/>
      <c r="H28" s="107"/>
    </row>
    <row r="29" spans="1:8" x14ac:dyDescent="0.25">
      <c r="A29" s="106"/>
      <c r="H29" s="107"/>
    </row>
    <row r="30" spans="1:8" x14ac:dyDescent="0.25">
      <c r="A30" s="106"/>
      <c r="H30" s="107"/>
    </row>
    <row r="31" spans="1:8" x14ac:dyDescent="0.25">
      <c r="A31" s="106"/>
      <c r="H31" s="107"/>
    </row>
    <row r="32" spans="1:8" x14ac:dyDescent="0.25">
      <c r="A32" s="106"/>
      <c r="B32" t="s">
        <v>580</v>
      </c>
      <c r="H32" s="107"/>
    </row>
    <row r="33" spans="1:8" x14ac:dyDescent="0.25">
      <c r="A33" s="106"/>
      <c r="H33" s="107"/>
    </row>
    <row r="34" spans="1:8" x14ac:dyDescent="0.25">
      <c r="A34" s="106"/>
      <c r="H34" s="107"/>
    </row>
    <row r="35" spans="1:8" x14ac:dyDescent="0.25">
      <c r="A35" s="106"/>
      <c r="H35" s="107"/>
    </row>
    <row r="36" spans="1:8" x14ac:dyDescent="0.25">
      <c r="A36" s="106"/>
      <c r="H36" s="107"/>
    </row>
    <row r="37" spans="1:8" x14ac:dyDescent="0.25">
      <c r="A37" s="106"/>
      <c r="H37" s="107"/>
    </row>
    <row r="38" spans="1:8" x14ac:dyDescent="0.25">
      <c r="A38" s="106"/>
      <c r="H38" s="107"/>
    </row>
    <row r="39" spans="1:8" x14ac:dyDescent="0.25">
      <c r="A39" s="106"/>
      <c r="H39" s="107"/>
    </row>
    <row r="40" spans="1:8" x14ac:dyDescent="0.25">
      <c r="A40" s="106"/>
      <c r="H40" s="107"/>
    </row>
    <row r="41" spans="1:8" x14ac:dyDescent="0.25">
      <c r="A41" s="106"/>
      <c r="H41" s="107"/>
    </row>
    <row r="42" spans="1:8" ht="15.75" thickBot="1" x14ac:dyDescent="0.3">
      <c r="A42" s="108"/>
      <c r="B42" s="109"/>
      <c r="C42" s="109"/>
      <c r="D42" s="109"/>
      <c r="E42" s="109"/>
      <c r="F42" s="109"/>
      <c r="G42" s="109"/>
      <c r="H42" s="110"/>
    </row>
  </sheetData>
  <mergeCells count="1">
    <mergeCell ref="A23:H23"/>
  </mergeCells>
  <pageMargins left="0.70866141732283472" right="0.70866141732283472" top="0.78740157480314965" bottom="0.78740157480314965" header="0.31496062992125984" footer="0.31496062992125984"/>
  <pageSetup paperSize="9"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4"/>
  <sheetViews>
    <sheetView zoomScaleNormal="100" workbookViewId="0"/>
  </sheetViews>
  <sheetFormatPr baseColWidth="10" defaultRowHeight="15" x14ac:dyDescent="0.25"/>
  <cols>
    <col min="1" max="1" width="30.28515625" customWidth="1"/>
    <col min="2" max="7" width="10.28515625" customWidth="1"/>
    <col min="8" max="8" width="15.85546875" customWidth="1"/>
    <col min="9" max="9" width="16.140625" customWidth="1"/>
    <col min="10" max="10" width="12.5703125" customWidth="1"/>
  </cols>
  <sheetData>
    <row r="1" spans="1:9" ht="21" x14ac:dyDescent="0.35">
      <c r="A1" s="162" t="s">
        <v>145</v>
      </c>
      <c r="B1" s="618" t="s">
        <v>1302</v>
      </c>
      <c r="C1" s="619"/>
      <c r="D1" s="615"/>
      <c r="E1" s="615"/>
    </row>
    <row r="3" spans="1:9" x14ac:dyDescent="0.25">
      <c r="A3" s="300" t="s">
        <v>62</v>
      </c>
    </row>
    <row r="5" spans="1:9" ht="24" customHeight="1" x14ac:dyDescent="0.25">
      <c r="B5" s="112" t="s">
        <v>23</v>
      </c>
      <c r="C5" s="112" t="s">
        <v>24</v>
      </c>
      <c r="D5" s="112" t="s">
        <v>25</v>
      </c>
      <c r="E5" s="112" t="s">
        <v>26</v>
      </c>
      <c r="F5" s="112" t="s">
        <v>27</v>
      </c>
      <c r="G5" s="112" t="s">
        <v>45</v>
      </c>
      <c r="H5" s="112" t="s">
        <v>229</v>
      </c>
      <c r="I5" s="112" t="s">
        <v>228</v>
      </c>
    </row>
    <row r="6" spans="1:9" x14ac:dyDescent="0.25">
      <c r="A6" s="316" t="s">
        <v>695</v>
      </c>
      <c r="B6" s="56">
        <v>631419</v>
      </c>
      <c r="C6" s="56">
        <v>695867</v>
      </c>
      <c r="D6" s="56">
        <v>668467</v>
      </c>
      <c r="E6" s="56">
        <v>634669</v>
      </c>
      <c r="F6" s="56">
        <v>601530</v>
      </c>
      <c r="G6" s="56">
        <f>SUM(B6:F6)</f>
        <v>3231952</v>
      </c>
      <c r="H6" s="56">
        <f>MAX(B6:F6)</f>
        <v>695867</v>
      </c>
      <c r="I6" s="56">
        <f>MIN(B6:F6)</f>
        <v>601530</v>
      </c>
    </row>
    <row r="7" spans="1:9" x14ac:dyDescent="0.25">
      <c r="A7" s="316" t="s">
        <v>696</v>
      </c>
      <c r="B7" s="56">
        <v>369191</v>
      </c>
      <c r="C7" s="56">
        <v>410803</v>
      </c>
      <c r="D7" s="56">
        <v>439079</v>
      </c>
      <c r="E7" s="56">
        <v>490690</v>
      </c>
      <c r="F7" s="56">
        <v>526134</v>
      </c>
      <c r="G7" s="56">
        <f t="shared" ref="G7:G12" si="0">SUM(B7:F7)</f>
        <v>2235897</v>
      </c>
      <c r="H7" s="56">
        <f t="shared" ref="H7:H12" si="1">MAX(B7:F7)</f>
        <v>526134</v>
      </c>
      <c r="I7" s="56">
        <f t="shared" ref="I7:I12" si="2">MIN(B7:F7)</f>
        <v>369191</v>
      </c>
    </row>
    <row r="8" spans="1:9" x14ac:dyDescent="0.25">
      <c r="A8" s="316" t="s">
        <v>697</v>
      </c>
      <c r="B8" s="56">
        <v>220372</v>
      </c>
      <c r="C8" s="56">
        <v>246660</v>
      </c>
      <c r="D8" s="56">
        <v>210335</v>
      </c>
      <c r="E8" s="56">
        <v>200695</v>
      </c>
      <c r="F8" s="56">
        <v>200694</v>
      </c>
      <c r="G8" s="56">
        <f t="shared" si="0"/>
        <v>1078756</v>
      </c>
      <c r="H8" s="56">
        <f t="shared" si="1"/>
        <v>246660</v>
      </c>
      <c r="I8" s="56">
        <f t="shared" si="2"/>
        <v>200694</v>
      </c>
    </row>
    <row r="9" spans="1:9" x14ac:dyDescent="0.25">
      <c r="A9" s="316" t="s">
        <v>698</v>
      </c>
      <c r="B9" s="56">
        <v>489500</v>
      </c>
      <c r="C9" s="56">
        <v>489000</v>
      </c>
      <c r="D9" s="56">
        <v>489000</v>
      </c>
      <c r="E9" s="56">
        <v>368750</v>
      </c>
      <c r="F9" s="56">
        <v>368750</v>
      </c>
      <c r="G9" s="56">
        <f t="shared" si="0"/>
        <v>2205000</v>
      </c>
      <c r="H9" s="56">
        <f t="shared" si="1"/>
        <v>489500</v>
      </c>
      <c r="I9" s="56">
        <f t="shared" si="2"/>
        <v>368750</v>
      </c>
    </row>
    <row r="10" spans="1:9" x14ac:dyDescent="0.25">
      <c r="A10" s="316" t="s">
        <v>63</v>
      </c>
      <c r="B10" s="56">
        <v>921340</v>
      </c>
      <c r="C10" s="56">
        <v>991543</v>
      </c>
      <c r="D10" s="56">
        <v>1025421</v>
      </c>
      <c r="E10" s="56">
        <v>1050333</v>
      </c>
      <c r="F10" s="56">
        <v>1080645</v>
      </c>
      <c r="G10" s="56">
        <f t="shared" si="0"/>
        <v>5069282</v>
      </c>
      <c r="H10" s="56">
        <f t="shared" si="1"/>
        <v>1080645</v>
      </c>
      <c r="I10" s="56">
        <f t="shared" si="2"/>
        <v>921340</v>
      </c>
    </row>
    <row r="11" spans="1:9" x14ac:dyDescent="0.25">
      <c r="A11" s="316" t="s">
        <v>699</v>
      </c>
      <c r="B11" s="56">
        <v>64000</v>
      </c>
      <c r="C11" s="56">
        <v>64000</v>
      </c>
      <c r="D11" s="56">
        <v>64000</v>
      </c>
      <c r="E11" s="56">
        <v>79500</v>
      </c>
      <c r="F11" s="56">
        <v>79500</v>
      </c>
      <c r="G11" s="56">
        <f t="shared" si="0"/>
        <v>351000</v>
      </c>
      <c r="H11" s="56">
        <f t="shared" si="1"/>
        <v>79500</v>
      </c>
      <c r="I11" s="56">
        <f t="shared" si="2"/>
        <v>64000</v>
      </c>
    </row>
    <row r="12" spans="1:9" x14ac:dyDescent="0.25">
      <c r="A12" s="316" t="s">
        <v>64</v>
      </c>
      <c r="B12" s="56">
        <v>3467</v>
      </c>
      <c r="C12" s="56">
        <v>4000</v>
      </c>
      <c r="D12" s="56">
        <v>3476</v>
      </c>
      <c r="E12" s="56">
        <v>5219</v>
      </c>
      <c r="F12" s="56">
        <v>2042</v>
      </c>
      <c r="G12" s="56">
        <f t="shared" si="0"/>
        <v>18204</v>
      </c>
      <c r="H12" s="56">
        <f t="shared" si="1"/>
        <v>5219</v>
      </c>
      <c r="I12" s="56">
        <f t="shared" si="2"/>
        <v>2042</v>
      </c>
    </row>
    <row r="13" spans="1:9" x14ac:dyDescent="0.25">
      <c r="A13" s="87" t="s">
        <v>45</v>
      </c>
      <c r="B13" s="56">
        <f>SUM(B6:B12)</f>
        <v>2699289</v>
      </c>
      <c r="C13" s="56">
        <f t="shared" ref="C13:G13" si="3">SUM(C6:C12)</f>
        <v>2901873</v>
      </c>
      <c r="D13" s="56">
        <f t="shared" si="3"/>
        <v>2899778</v>
      </c>
      <c r="E13" s="56">
        <f t="shared" si="3"/>
        <v>2829856</v>
      </c>
      <c r="F13" s="56">
        <f t="shared" si="3"/>
        <v>2859295</v>
      </c>
      <c r="G13" s="56">
        <f t="shared" si="3"/>
        <v>14190091</v>
      </c>
      <c r="H13" s="56">
        <f>MAX(B13:F13)</f>
        <v>2901873</v>
      </c>
      <c r="I13" s="56">
        <f>MIN(B13:F13)</f>
        <v>2699289</v>
      </c>
    </row>
    <row r="14" spans="1:9" x14ac:dyDescent="0.25">
      <c r="A14" s="87" t="s">
        <v>577</v>
      </c>
      <c r="B14" s="111">
        <f>+B8/B13</f>
        <v>8.1640757992197208E-2</v>
      </c>
      <c r="C14" s="111">
        <f t="shared" ref="C14:G14" si="4">+C8/C13</f>
        <v>8.5000273960990025E-2</v>
      </c>
      <c r="D14" s="111">
        <f t="shared" si="4"/>
        <v>7.2534863013651391E-2</v>
      </c>
      <c r="E14" s="111">
        <f t="shared" si="4"/>
        <v>7.0920569809912584E-2</v>
      </c>
      <c r="F14" s="111">
        <f t="shared" si="4"/>
        <v>7.0190029360384293E-2</v>
      </c>
      <c r="G14" s="111">
        <f t="shared" si="4"/>
        <v>7.602178167849663E-2</v>
      </c>
    </row>
    <row r="15" spans="1:9" x14ac:dyDescent="0.25">
      <c r="A15" s="87" t="s">
        <v>701</v>
      </c>
      <c r="B15" s="111">
        <f>+B6/B13</f>
        <v>0.23392048795071591</v>
      </c>
      <c r="C15" s="111">
        <f t="shared" ref="C15:G15" si="5">+C6/C13</f>
        <v>0.23979926068439247</v>
      </c>
      <c r="D15" s="111">
        <f t="shared" si="5"/>
        <v>0.23052350904103694</v>
      </c>
      <c r="E15" s="111">
        <f t="shared" si="5"/>
        <v>0.22427607623850826</v>
      </c>
      <c r="F15" s="111">
        <f t="shared" si="5"/>
        <v>0.2103770334995165</v>
      </c>
      <c r="G15" s="111">
        <f t="shared" si="5"/>
        <v>0.22776118912838544</v>
      </c>
    </row>
    <row r="17" spans="1:8" x14ac:dyDescent="0.25">
      <c r="A17" s="52" t="s">
        <v>694</v>
      </c>
    </row>
    <row r="18" spans="1:8" x14ac:dyDescent="0.25">
      <c r="A18" s="52" t="s">
        <v>245</v>
      </c>
    </row>
    <row r="19" spans="1:8" x14ac:dyDescent="0.25">
      <c r="A19" s="52" t="s">
        <v>246</v>
      </c>
    </row>
    <row r="20" spans="1:8" x14ac:dyDescent="0.25">
      <c r="A20" s="52" t="s">
        <v>578</v>
      </c>
    </row>
    <row r="21" spans="1:8" x14ac:dyDescent="0.25">
      <c r="A21" s="52" t="s">
        <v>700</v>
      </c>
    </row>
    <row r="22" spans="1:8" x14ac:dyDescent="0.25">
      <c r="A22" s="52" t="s">
        <v>247</v>
      </c>
    </row>
    <row r="23" spans="1:8" x14ac:dyDescent="0.25">
      <c r="A23" s="52" t="s">
        <v>579</v>
      </c>
    </row>
    <row r="24" spans="1:8" x14ac:dyDescent="0.25">
      <c r="A24" s="52" t="s">
        <v>702</v>
      </c>
    </row>
    <row r="25" spans="1:8" ht="30.75" customHeight="1" x14ac:dyDescent="0.25">
      <c r="A25" s="645" t="s">
        <v>581</v>
      </c>
      <c r="B25" s="645"/>
      <c r="C25" s="645"/>
      <c r="D25" s="645"/>
      <c r="E25" s="645"/>
      <c r="F25" s="645"/>
      <c r="G25" s="645"/>
      <c r="H25" s="645"/>
    </row>
    <row r="26" spans="1:8" ht="15.75" thickBot="1" x14ac:dyDescent="0.3">
      <c r="A26" s="52" t="s">
        <v>248</v>
      </c>
    </row>
    <row r="27" spans="1:8" x14ac:dyDescent="0.25">
      <c r="A27" s="103"/>
      <c r="B27" s="104"/>
      <c r="C27" s="104"/>
      <c r="D27" s="104"/>
      <c r="E27" s="104"/>
      <c r="F27" s="104"/>
      <c r="G27" s="104"/>
      <c r="H27" s="105"/>
    </row>
    <row r="28" spans="1:8" x14ac:dyDescent="0.25">
      <c r="A28" s="106"/>
      <c r="H28" s="107"/>
    </row>
    <row r="29" spans="1:8" x14ac:dyDescent="0.25">
      <c r="A29" s="106"/>
      <c r="H29" s="107"/>
    </row>
    <row r="30" spans="1:8" x14ac:dyDescent="0.25">
      <c r="A30" s="106"/>
      <c r="H30" s="107"/>
    </row>
    <row r="31" spans="1:8" x14ac:dyDescent="0.25">
      <c r="A31" s="106"/>
      <c r="H31" s="107"/>
    </row>
    <row r="32" spans="1:8" x14ac:dyDescent="0.25">
      <c r="A32" s="106"/>
      <c r="H32" s="107"/>
    </row>
    <row r="33" spans="1:8" x14ac:dyDescent="0.25">
      <c r="A33" s="106"/>
      <c r="H33" s="107"/>
    </row>
    <row r="34" spans="1:8" x14ac:dyDescent="0.25">
      <c r="A34" s="106"/>
      <c r="H34" s="107"/>
    </row>
    <row r="35" spans="1:8" x14ac:dyDescent="0.25">
      <c r="A35" s="106"/>
      <c r="H35" s="107"/>
    </row>
    <row r="36" spans="1:8" x14ac:dyDescent="0.25">
      <c r="A36" s="106"/>
      <c r="H36" s="107"/>
    </row>
    <row r="37" spans="1:8" x14ac:dyDescent="0.25">
      <c r="A37" s="106"/>
      <c r="H37" s="107"/>
    </row>
    <row r="38" spans="1:8" x14ac:dyDescent="0.25">
      <c r="A38" s="106"/>
      <c r="H38" s="107"/>
    </row>
    <row r="39" spans="1:8" x14ac:dyDescent="0.25">
      <c r="A39" s="106"/>
      <c r="H39" s="107"/>
    </row>
    <row r="40" spans="1:8" x14ac:dyDescent="0.25">
      <c r="A40" s="106"/>
      <c r="H40" s="107"/>
    </row>
    <row r="41" spans="1:8" x14ac:dyDescent="0.25">
      <c r="A41" s="106"/>
      <c r="H41" s="107"/>
    </row>
    <row r="42" spans="1:8" x14ac:dyDescent="0.25">
      <c r="A42" s="106"/>
      <c r="H42" s="107"/>
    </row>
    <row r="43" spans="1:8" x14ac:dyDescent="0.25">
      <c r="A43" s="106"/>
      <c r="H43" s="107"/>
    </row>
    <row r="44" spans="1:8" ht="15.75" thickBot="1" x14ac:dyDescent="0.3">
      <c r="A44" s="108"/>
      <c r="B44" s="109"/>
      <c r="C44" s="109"/>
      <c r="D44" s="109"/>
      <c r="E44" s="109"/>
      <c r="F44" s="109"/>
      <c r="G44" s="109"/>
      <c r="H44" s="110"/>
    </row>
  </sheetData>
  <mergeCells count="1">
    <mergeCell ref="A25:H25"/>
  </mergeCells>
  <pageMargins left="0.7" right="0.7" top="0.78740157499999996" bottom="0.78740157499999996"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B23"/>
  <sheetViews>
    <sheetView zoomScale="130" zoomScaleNormal="130" workbookViewId="0">
      <selection activeCell="I3" sqref="I3"/>
    </sheetView>
  </sheetViews>
  <sheetFormatPr baseColWidth="10" defaultRowHeight="15" x14ac:dyDescent="0.25"/>
  <sheetData>
    <row r="2" spans="2:2" ht="18.75" x14ac:dyDescent="0.3">
      <c r="B2" s="522" t="s">
        <v>1258</v>
      </c>
    </row>
    <row r="4" spans="2:2" x14ac:dyDescent="0.25">
      <c r="B4" t="s">
        <v>1252</v>
      </c>
    </row>
    <row r="5" spans="2:2" x14ac:dyDescent="0.25">
      <c r="B5" t="s">
        <v>1273</v>
      </c>
    </row>
    <row r="6" spans="2:2" x14ac:dyDescent="0.25">
      <c r="B6" t="s">
        <v>1253</v>
      </c>
    </row>
    <row r="8" spans="2:2" x14ac:dyDescent="0.25">
      <c r="B8" s="10" t="s">
        <v>1255</v>
      </c>
    </row>
    <row r="9" spans="2:2" x14ac:dyDescent="0.25">
      <c r="B9" s="10" t="s">
        <v>1274</v>
      </c>
    </row>
    <row r="11" spans="2:2" x14ac:dyDescent="0.25">
      <c r="B11" t="s">
        <v>1254</v>
      </c>
    </row>
    <row r="12" spans="2:2" x14ac:dyDescent="0.25">
      <c r="B12" t="s">
        <v>1275</v>
      </c>
    </row>
    <row r="14" spans="2:2" ht="18.75" x14ac:dyDescent="0.3">
      <c r="B14" s="522" t="s">
        <v>1257</v>
      </c>
    </row>
    <row r="16" spans="2:2" x14ac:dyDescent="0.25">
      <c r="B16" s="10" t="s">
        <v>1297</v>
      </c>
    </row>
    <row r="17" spans="2:2" x14ac:dyDescent="0.25">
      <c r="B17" s="9" t="s">
        <v>1276</v>
      </c>
    </row>
    <row r="19" spans="2:2" x14ac:dyDescent="0.25">
      <c r="B19" s="10" t="s">
        <v>1298</v>
      </c>
    </row>
    <row r="20" spans="2:2" x14ac:dyDescent="0.25">
      <c r="B20" s="9" t="s">
        <v>1259</v>
      </c>
    </row>
    <row r="21" spans="2:2" x14ac:dyDescent="0.25">
      <c r="B21" s="9" t="s">
        <v>1260</v>
      </c>
    </row>
    <row r="22" spans="2:2" x14ac:dyDescent="0.25">
      <c r="B22" s="92" t="s">
        <v>1256</v>
      </c>
    </row>
    <row r="23" spans="2:2" x14ac:dyDescent="0.25">
      <c r="B23" s="92" t="s">
        <v>1299</v>
      </c>
    </row>
  </sheetData>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34"/>
  <sheetViews>
    <sheetView zoomScaleNormal="100" workbookViewId="0"/>
  </sheetViews>
  <sheetFormatPr baseColWidth="10" defaultColWidth="11.42578125" defaultRowHeight="15" x14ac:dyDescent="0.25"/>
  <cols>
    <col min="1" max="1" width="25.28515625" customWidth="1"/>
    <col min="5" max="6" width="15.7109375" customWidth="1"/>
  </cols>
  <sheetData>
    <row r="1" spans="1:5" ht="21" x14ac:dyDescent="0.35">
      <c r="A1" s="162" t="s">
        <v>134</v>
      </c>
      <c r="B1" s="618" t="s">
        <v>1301</v>
      </c>
      <c r="C1" s="615"/>
      <c r="D1" s="615"/>
    </row>
    <row r="3" spans="1:5" x14ac:dyDescent="0.25">
      <c r="A3" s="300" t="s">
        <v>1178</v>
      </c>
      <c r="B3" s="205"/>
      <c r="C3" s="205"/>
      <c r="D3" s="205"/>
    </row>
    <row r="5" spans="1:5" x14ac:dyDescent="0.25">
      <c r="A5" s="203"/>
      <c r="B5" s="255" t="s">
        <v>135</v>
      </c>
      <c r="C5" s="255" t="s">
        <v>260</v>
      </c>
      <c r="D5" s="255" t="s">
        <v>261</v>
      </c>
    </row>
    <row r="7" spans="1:5" x14ac:dyDescent="0.25">
      <c r="A7" s="203" t="s">
        <v>136</v>
      </c>
      <c r="B7" s="53">
        <v>1480</v>
      </c>
      <c r="C7" s="53">
        <v>1480</v>
      </c>
      <c r="D7" s="53">
        <v>1480</v>
      </c>
      <c r="E7" s="53"/>
    </row>
    <row r="8" spans="1:5" x14ac:dyDescent="0.25">
      <c r="A8" s="203" t="s">
        <v>137</v>
      </c>
      <c r="B8" s="53">
        <v>140</v>
      </c>
      <c r="C8" s="53">
        <v>90</v>
      </c>
      <c r="D8" s="53">
        <v>160</v>
      </c>
    </row>
    <row r="9" spans="1:5" x14ac:dyDescent="0.25">
      <c r="A9" s="203"/>
      <c r="B9" s="29"/>
      <c r="C9" s="29"/>
      <c r="D9" s="29"/>
    </row>
    <row r="10" spans="1:5" x14ac:dyDescent="0.25">
      <c r="A10" s="203"/>
      <c r="B10" s="29"/>
      <c r="C10" s="29"/>
      <c r="D10" s="29"/>
    </row>
    <row r="11" spans="1:5" x14ac:dyDescent="0.25">
      <c r="A11" s="240" t="s">
        <v>138</v>
      </c>
      <c r="B11" s="29"/>
      <c r="C11" s="29"/>
      <c r="D11" s="29"/>
    </row>
    <row r="12" spans="1:5" x14ac:dyDescent="0.25">
      <c r="A12" s="203" t="s">
        <v>139</v>
      </c>
      <c r="B12" s="29">
        <v>365</v>
      </c>
      <c r="C12" s="29">
        <v>365</v>
      </c>
      <c r="D12" s="29">
        <v>365</v>
      </c>
    </row>
    <row r="13" spans="1:5" x14ac:dyDescent="0.25">
      <c r="A13" s="203" t="s">
        <v>140</v>
      </c>
      <c r="B13" s="29">
        <v>95</v>
      </c>
      <c r="C13" s="29">
        <v>95</v>
      </c>
      <c r="D13" s="29">
        <v>95</v>
      </c>
    </row>
    <row r="14" spans="1:5" x14ac:dyDescent="0.25">
      <c r="A14" s="203" t="s">
        <v>141</v>
      </c>
      <c r="B14" s="29">
        <v>55</v>
      </c>
      <c r="C14" s="29">
        <v>55</v>
      </c>
      <c r="D14" s="29">
        <v>55</v>
      </c>
    </row>
    <row r="15" spans="1:5" x14ac:dyDescent="0.25">
      <c r="A15" s="203" t="s">
        <v>262</v>
      </c>
      <c r="B15" s="29">
        <v>60</v>
      </c>
      <c r="C15" s="29">
        <v>60</v>
      </c>
      <c r="D15" s="29">
        <v>60</v>
      </c>
    </row>
    <row r="16" spans="1:5" x14ac:dyDescent="0.25">
      <c r="A16" s="203" t="s">
        <v>263</v>
      </c>
      <c r="B16" s="29">
        <v>120</v>
      </c>
      <c r="C16" s="29">
        <v>120</v>
      </c>
      <c r="D16" s="29">
        <v>120</v>
      </c>
    </row>
    <row r="17" spans="1:6" x14ac:dyDescent="0.25">
      <c r="A17" s="203"/>
      <c r="B17" s="29"/>
      <c r="C17" s="29"/>
      <c r="D17" s="29"/>
    </row>
    <row r="18" spans="1:6" x14ac:dyDescent="0.25">
      <c r="A18" s="240" t="s">
        <v>142</v>
      </c>
      <c r="B18" s="165"/>
      <c r="C18" s="165"/>
      <c r="D18" s="165"/>
    </row>
    <row r="19" spans="1:6" x14ac:dyDescent="0.25">
      <c r="A19" s="203" t="s">
        <v>264</v>
      </c>
      <c r="B19" s="30">
        <v>35.9</v>
      </c>
      <c r="C19" s="30">
        <v>35.9</v>
      </c>
      <c r="D19" s="30">
        <v>35.9</v>
      </c>
    </row>
    <row r="20" spans="1:6" x14ac:dyDescent="0.25">
      <c r="A20" s="203" t="s">
        <v>143</v>
      </c>
      <c r="B20" s="30">
        <v>46.2</v>
      </c>
      <c r="C20" s="30">
        <v>57.8</v>
      </c>
      <c r="D20" s="30">
        <v>59.92</v>
      </c>
    </row>
    <row r="21" spans="1:6" x14ac:dyDescent="0.25">
      <c r="A21" s="203" t="s">
        <v>144</v>
      </c>
      <c r="B21" s="54">
        <v>205.3</v>
      </c>
      <c r="C21" s="54">
        <v>167.26</v>
      </c>
      <c r="D21" s="54">
        <v>178.91</v>
      </c>
      <c r="E21" s="54"/>
    </row>
    <row r="22" spans="1:6" x14ac:dyDescent="0.25">
      <c r="A22" s="203" t="s">
        <v>265</v>
      </c>
      <c r="B22" s="54">
        <v>364.49</v>
      </c>
      <c r="C22" s="54">
        <v>327.72</v>
      </c>
      <c r="D22" s="54">
        <v>357.06</v>
      </c>
    </row>
    <row r="23" spans="1:6" x14ac:dyDescent="0.25">
      <c r="A23" s="203" t="s">
        <v>718</v>
      </c>
      <c r="B23" s="54">
        <v>224.5</v>
      </c>
      <c r="C23" s="54">
        <v>205.9</v>
      </c>
      <c r="D23" s="54">
        <v>271.45</v>
      </c>
    </row>
    <row r="24" spans="1:6" x14ac:dyDescent="0.25">
      <c r="A24" s="203" t="s">
        <v>719</v>
      </c>
      <c r="B24" s="54">
        <v>307.5</v>
      </c>
      <c r="C24" s="54">
        <v>288.85000000000002</v>
      </c>
      <c r="D24" s="54">
        <v>249.4</v>
      </c>
    </row>
    <row r="28" spans="1:6" ht="45" customHeight="1" x14ac:dyDescent="0.25">
      <c r="A28" s="646" t="s">
        <v>662</v>
      </c>
      <c r="B28" s="646"/>
      <c r="C28" s="646"/>
      <c r="D28" s="646"/>
      <c r="E28" s="646"/>
      <c r="F28" s="646"/>
    </row>
    <row r="29" spans="1:6" ht="32.25" customHeight="1" x14ac:dyDescent="0.25">
      <c r="A29" s="646" t="s">
        <v>663</v>
      </c>
      <c r="B29" s="646"/>
      <c r="C29" s="646"/>
      <c r="D29" s="646"/>
      <c r="E29" s="646"/>
      <c r="F29" s="646"/>
    </row>
    <row r="30" spans="1:6" x14ac:dyDescent="0.25">
      <c r="A30" s="9" t="s">
        <v>266</v>
      </c>
    </row>
    <row r="31" spans="1:6" x14ac:dyDescent="0.25">
      <c r="A31" s="202" t="s">
        <v>721</v>
      </c>
    </row>
    <row r="32" spans="1:6" x14ac:dyDescent="0.25">
      <c r="A32" s="202" t="s">
        <v>267</v>
      </c>
    </row>
    <row r="33" spans="1:1" x14ac:dyDescent="0.25">
      <c r="A33" s="202" t="s">
        <v>268</v>
      </c>
    </row>
    <row r="34" spans="1:1" x14ac:dyDescent="0.25">
      <c r="A34" s="202" t="s">
        <v>720</v>
      </c>
    </row>
  </sheetData>
  <mergeCells count="2">
    <mergeCell ref="A28:F28"/>
    <mergeCell ref="A29:F29"/>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048576"/>
  <sheetViews>
    <sheetView workbookViewId="0"/>
  </sheetViews>
  <sheetFormatPr baseColWidth="10" defaultRowHeight="15" x14ac:dyDescent="0.25"/>
  <cols>
    <col min="1" max="1" width="27" customWidth="1"/>
    <col min="6" max="6" width="15.5703125" customWidth="1"/>
  </cols>
  <sheetData>
    <row r="1" spans="1:6" ht="21" x14ac:dyDescent="0.35">
      <c r="A1" s="162" t="s">
        <v>134</v>
      </c>
      <c r="B1" s="618" t="s">
        <v>1302</v>
      </c>
      <c r="C1" s="615"/>
      <c r="D1" s="615"/>
    </row>
    <row r="3" spans="1:6" x14ac:dyDescent="0.25">
      <c r="A3" s="300" t="s">
        <v>1178</v>
      </c>
      <c r="B3" s="205"/>
      <c r="C3" s="205"/>
      <c r="D3" s="205"/>
    </row>
    <row r="4" spans="1:6" x14ac:dyDescent="0.25">
      <c r="B4" s="343"/>
      <c r="C4" s="343"/>
      <c r="D4" s="343"/>
      <c r="E4" s="344" t="s">
        <v>722</v>
      </c>
      <c r="F4" s="344" t="s">
        <v>584</v>
      </c>
    </row>
    <row r="5" spans="1:6" x14ac:dyDescent="0.25">
      <c r="A5" s="203"/>
      <c r="B5" s="344" t="s">
        <v>135</v>
      </c>
      <c r="C5" s="344" t="s">
        <v>260</v>
      </c>
      <c r="D5" s="344" t="s">
        <v>261</v>
      </c>
      <c r="E5" s="345" t="s">
        <v>723</v>
      </c>
      <c r="F5" s="344" t="s">
        <v>724</v>
      </c>
    </row>
    <row r="7" spans="1:6" x14ac:dyDescent="0.25">
      <c r="A7" s="28" t="s">
        <v>136</v>
      </c>
      <c r="B7" s="113">
        <v>1480</v>
      </c>
      <c r="C7" s="113">
        <v>1480</v>
      </c>
      <c r="D7" s="113">
        <v>1480</v>
      </c>
      <c r="E7" s="113">
        <f>AVERAGE(B7:D7)</f>
        <v>1480</v>
      </c>
      <c r="F7" s="73">
        <f>E7*12</f>
        <v>17760</v>
      </c>
    </row>
    <row r="8" spans="1:6" x14ac:dyDescent="0.25">
      <c r="A8" s="28" t="s">
        <v>137</v>
      </c>
      <c r="B8" s="113">
        <v>140</v>
      </c>
      <c r="C8" s="113">
        <v>90</v>
      </c>
      <c r="D8" s="113">
        <v>160</v>
      </c>
      <c r="E8" s="113">
        <f t="shared" ref="E8:E28" si="0">AVERAGE(B8:D8)</f>
        <v>130</v>
      </c>
      <c r="F8" s="73">
        <f>E8*12</f>
        <v>1560</v>
      </c>
    </row>
    <row r="9" spans="1:6" x14ac:dyDescent="0.25">
      <c r="A9" s="28"/>
      <c r="B9" s="113"/>
      <c r="C9" s="113"/>
      <c r="D9" s="113"/>
      <c r="E9" s="113"/>
    </row>
    <row r="10" spans="1:6" x14ac:dyDescent="0.25">
      <c r="A10" s="28"/>
      <c r="B10" s="113"/>
      <c r="C10" s="113"/>
      <c r="D10" s="113"/>
      <c r="E10" s="113"/>
    </row>
    <row r="11" spans="1:6" x14ac:dyDescent="0.25">
      <c r="A11" s="31" t="s">
        <v>138</v>
      </c>
      <c r="B11" s="113"/>
      <c r="C11" s="113"/>
      <c r="D11" s="113"/>
      <c r="E11" s="113"/>
    </row>
    <row r="12" spans="1:6" x14ac:dyDescent="0.25">
      <c r="A12" s="28" t="s">
        <v>139</v>
      </c>
      <c r="B12" s="113">
        <v>365</v>
      </c>
      <c r="C12" s="113">
        <v>365</v>
      </c>
      <c r="D12" s="113">
        <v>365</v>
      </c>
      <c r="E12" s="113">
        <f t="shared" si="0"/>
        <v>365</v>
      </c>
      <c r="F12" s="73">
        <f t="shared" ref="F12:F16" si="1">E12*12</f>
        <v>4380</v>
      </c>
    </row>
    <row r="13" spans="1:6" x14ac:dyDescent="0.25">
      <c r="A13" s="28" t="s">
        <v>140</v>
      </c>
      <c r="B13" s="113">
        <v>95</v>
      </c>
      <c r="C13" s="113">
        <v>95</v>
      </c>
      <c r="D13" s="113">
        <v>95</v>
      </c>
      <c r="E13" s="113">
        <f t="shared" si="0"/>
        <v>95</v>
      </c>
      <c r="F13" s="73">
        <f t="shared" si="1"/>
        <v>1140</v>
      </c>
    </row>
    <row r="14" spans="1:6" x14ac:dyDescent="0.25">
      <c r="A14" s="28" t="s">
        <v>141</v>
      </c>
      <c r="B14" s="113">
        <v>55</v>
      </c>
      <c r="C14" s="113">
        <v>55</v>
      </c>
      <c r="D14" s="113">
        <v>55</v>
      </c>
      <c r="E14" s="113">
        <f t="shared" si="0"/>
        <v>55</v>
      </c>
      <c r="F14" s="73">
        <f t="shared" si="1"/>
        <v>660</v>
      </c>
    </row>
    <row r="15" spans="1:6" x14ac:dyDescent="0.25">
      <c r="A15" s="28" t="s">
        <v>262</v>
      </c>
      <c r="B15" s="113">
        <v>60</v>
      </c>
      <c r="C15" s="113">
        <v>60</v>
      </c>
      <c r="D15" s="113">
        <v>60</v>
      </c>
      <c r="E15" s="113">
        <f t="shared" si="0"/>
        <v>60</v>
      </c>
      <c r="F15" s="73">
        <f t="shared" si="1"/>
        <v>720</v>
      </c>
    </row>
    <row r="16" spans="1:6" x14ac:dyDescent="0.25">
      <c r="A16" s="28" t="s">
        <v>263</v>
      </c>
      <c r="B16" s="113">
        <v>120</v>
      </c>
      <c r="C16" s="113">
        <v>120</v>
      </c>
      <c r="D16" s="113">
        <v>120</v>
      </c>
      <c r="E16" s="113">
        <f t="shared" si="0"/>
        <v>120</v>
      </c>
      <c r="F16" s="73">
        <f t="shared" si="1"/>
        <v>1440</v>
      </c>
    </row>
    <row r="17" spans="1:6" x14ac:dyDescent="0.25">
      <c r="A17" s="28"/>
      <c r="B17" s="113"/>
      <c r="C17" s="113"/>
      <c r="D17" s="113"/>
      <c r="E17" s="113"/>
    </row>
    <row r="18" spans="1:6" x14ac:dyDescent="0.25">
      <c r="A18" s="31" t="s">
        <v>142</v>
      </c>
      <c r="B18" s="73"/>
      <c r="C18" s="73"/>
      <c r="D18" s="73"/>
      <c r="E18" s="113"/>
    </row>
    <row r="19" spans="1:6" x14ac:dyDescent="0.25">
      <c r="A19" s="28" t="s">
        <v>264</v>
      </c>
      <c r="B19" s="114">
        <v>35.9</v>
      </c>
      <c r="C19" s="114">
        <v>35.9</v>
      </c>
      <c r="D19" s="114">
        <v>35.9</v>
      </c>
      <c r="E19" s="113">
        <f t="shared" si="0"/>
        <v>35.9</v>
      </c>
      <c r="F19" s="73">
        <f t="shared" ref="F19:F24" si="2">E19*12</f>
        <v>430.79999999999995</v>
      </c>
    </row>
    <row r="20" spans="1:6" x14ac:dyDescent="0.25">
      <c r="A20" s="28" t="s">
        <v>143</v>
      </c>
      <c r="B20" s="114">
        <v>46.2</v>
      </c>
      <c r="C20" s="114">
        <v>57.8</v>
      </c>
      <c r="D20" s="114">
        <v>59.92</v>
      </c>
      <c r="E20" s="113">
        <f t="shared" si="0"/>
        <v>54.640000000000008</v>
      </c>
      <c r="F20" s="73">
        <f t="shared" si="2"/>
        <v>655.68000000000006</v>
      </c>
    </row>
    <row r="21" spans="1:6" x14ac:dyDescent="0.25">
      <c r="A21" s="28" t="s">
        <v>144</v>
      </c>
      <c r="B21" s="113">
        <v>205.3</v>
      </c>
      <c r="C21" s="113">
        <v>167.26</v>
      </c>
      <c r="D21" s="113">
        <v>178.91</v>
      </c>
      <c r="E21" s="113">
        <f t="shared" si="0"/>
        <v>183.82333333333335</v>
      </c>
      <c r="F21" s="73">
        <f t="shared" si="2"/>
        <v>2205.88</v>
      </c>
    </row>
    <row r="22" spans="1:6" x14ac:dyDescent="0.25">
      <c r="A22" s="28" t="s">
        <v>265</v>
      </c>
      <c r="B22" s="113">
        <v>364.49</v>
      </c>
      <c r="C22" s="113">
        <v>327.72</v>
      </c>
      <c r="D22" s="113">
        <v>357.06</v>
      </c>
      <c r="E22" s="113">
        <f t="shared" si="0"/>
        <v>349.75666666666666</v>
      </c>
      <c r="F22" s="73">
        <f t="shared" si="2"/>
        <v>4197.08</v>
      </c>
    </row>
    <row r="23" spans="1:6" x14ac:dyDescent="0.25">
      <c r="A23" s="28" t="s">
        <v>718</v>
      </c>
      <c r="B23" s="113">
        <v>224.5</v>
      </c>
      <c r="C23" s="113">
        <v>205.9</v>
      </c>
      <c r="D23" s="113">
        <v>271.45</v>
      </c>
      <c r="E23" s="113">
        <f t="shared" si="0"/>
        <v>233.94999999999996</v>
      </c>
      <c r="F23" s="73">
        <f t="shared" si="2"/>
        <v>2807.3999999999996</v>
      </c>
    </row>
    <row r="24" spans="1:6" x14ac:dyDescent="0.25">
      <c r="A24" s="28" t="s">
        <v>719</v>
      </c>
      <c r="B24" s="113">
        <v>307.5</v>
      </c>
      <c r="C24" s="113">
        <v>288.85000000000002</v>
      </c>
      <c r="D24" s="113">
        <v>249.4</v>
      </c>
      <c r="E24" s="113">
        <f t="shared" si="0"/>
        <v>281.91666666666669</v>
      </c>
      <c r="F24" s="73">
        <f t="shared" si="2"/>
        <v>3383</v>
      </c>
    </row>
    <row r="25" spans="1:6" x14ac:dyDescent="0.25">
      <c r="A25" s="346"/>
      <c r="B25" s="73"/>
      <c r="C25" s="73"/>
      <c r="D25" s="73"/>
      <c r="E25" s="113"/>
    </row>
    <row r="26" spans="1:6" x14ac:dyDescent="0.25">
      <c r="A26" s="347" t="s">
        <v>725</v>
      </c>
      <c r="B26" s="348">
        <f>SUM(B7:B8)</f>
        <v>1620</v>
      </c>
      <c r="C26" s="348">
        <f t="shared" ref="C26:D26" si="3">SUM(C7:C8)</f>
        <v>1570</v>
      </c>
      <c r="D26" s="348">
        <f t="shared" si="3"/>
        <v>1640</v>
      </c>
      <c r="E26" s="349">
        <f t="shared" si="0"/>
        <v>1610</v>
      </c>
      <c r="F26" s="349">
        <f t="shared" ref="F26:F28" si="4">E26*12</f>
        <v>19320</v>
      </c>
    </row>
    <row r="27" spans="1:6" x14ac:dyDescent="0.25">
      <c r="A27" s="347" t="s">
        <v>726</v>
      </c>
      <c r="B27" s="348">
        <f>SUM(B12:B24)</f>
        <v>1878.89</v>
      </c>
      <c r="C27" s="348">
        <f t="shared" ref="C27:D27" si="5">SUM(C12:C24)</f>
        <v>1778.4299999999998</v>
      </c>
      <c r="D27" s="348">
        <f t="shared" si="5"/>
        <v>1847.64</v>
      </c>
      <c r="E27" s="349">
        <f t="shared" si="0"/>
        <v>1834.9866666666667</v>
      </c>
      <c r="F27" s="349">
        <f t="shared" si="4"/>
        <v>22019.84</v>
      </c>
    </row>
    <row r="28" spans="1:6" x14ac:dyDescent="0.25">
      <c r="A28" s="347" t="s">
        <v>727</v>
      </c>
      <c r="B28" s="350">
        <f>B26-B27</f>
        <v>-258.8900000000001</v>
      </c>
      <c r="C28" s="350">
        <f t="shared" ref="C28:D28" si="6">C26-C27</f>
        <v>-208.42999999999984</v>
      </c>
      <c r="D28" s="350">
        <f t="shared" si="6"/>
        <v>-207.6400000000001</v>
      </c>
      <c r="E28" s="351">
        <f t="shared" si="0"/>
        <v>-224.98666666666668</v>
      </c>
      <c r="F28" s="351">
        <f t="shared" si="4"/>
        <v>-2699.84</v>
      </c>
    </row>
    <row r="31" spans="1:6" ht="45" customHeight="1" x14ac:dyDescent="0.25">
      <c r="A31" s="646" t="s">
        <v>728</v>
      </c>
      <c r="B31" s="646"/>
      <c r="C31" s="646"/>
      <c r="D31" s="646"/>
      <c r="E31" s="646"/>
      <c r="F31" s="646"/>
    </row>
    <row r="32" spans="1:6" ht="30" customHeight="1" x14ac:dyDescent="0.25">
      <c r="A32" s="646" t="s">
        <v>663</v>
      </c>
      <c r="B32" s="646"/>
      <c r="C32" s="646"/>
      <c r="D32" s="646"/>
      <c r="E32" s="646"/>
      <c r="F32" s="646"/>
    </row>
    <row r="33" spans="1:1" x14ac:dyDescent="0.25">
      <c r="A33" s="9" t="s">
        <v>266</v>
      </c>
    </row>
    <row r="34" spans="1:1" x14ac:dyDescent="0.25">
      <c r="A34" s="202" t="s">
        <v>721</v>
      </c>
    </row>
    <row r="35" spans="1:1" x14ac:dyDescent="0.25">
      <c r="A35" s="202" t="s">
        <v>267</v>
      </c>
    </row>
    <row r="36" spans="1:1" x14ac:dyDescent="0.25">
      <c r="A36" s="202" t="s">
        <v>268</v>
      </c>
    </row>
    <row r="37" spans="1:1" x14ac:dyDescent="0.25">
      <c r="A37" s="202" t="s">
        <v>720</v>
      </c>
    </row>
    <row r="39" spans="1:1" x14ac:dyDescent="0.25">
      <c r="A39" s="40" t="s">
        <v>585</v>
      </c>
    </row>
    <row r="1048576" spans="5:5" x14ac:dyDescent="0.25">
      <c r="E1048576" s="53"/>
    </row>
  </sheetData>
  <mergeCells count="2">
    <mergeCell ref="A31:F31"/>
    <mergeCell ref="A32:F32"/>
  </mergeCell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48"/>
  <sheetViews>
    <sheetView zoomScaleNormal="100" workbookViewId="0"/>
  </sheetViews>
  <sheetFormatPr baseColWidth="10" defaultColWidth="11.42578125" defaultRowHeight="15" x14ac:dyDescent="0.25"/>
  <cols>
    <col min="1" max="1" width="23.28515625" customWidth="1"/>
  </cols>
  <sheetData>
    <row r="1" spans="1:7" ht="21" x14ac:dyDescent="0.35">
      <c r="A1" s="162" t="s">
        <v>126</v>
      </c>
      <c r="B1" s="618" t="s">
        <v>1301</v>
      </c>
      <c r="C1" s="620"/>
      <c r="D1" s="615"/>
    </row>
    <row r="3" spans="1:7" x14ac:dyDescent="0.25">
      <c r="A3" s="300" t="s">
        <v>729</v>
      </c>
      <c r="B3" s="203"/>
      <c r="C3" s="203"/>
      <c r="D3" s="203"/>
      <c r="E3" s="203"/>
    </row>
    <row r="4" spans="1:7" x14ac:dyDescent="0.25">
      <c r="A4" s="203"/>
      <c r="B4" s="203"/>
      <c r="C4" s="203"/>
      <c r="D4" s="203"/>
      <c r="E4" s="203"/>
    </row>
    <row r="5" spans="1:7" x14ac:dyDescent="0.25">
      <c r="A5" s="203"/>
      <c r="B5" s="203"/>
      <c r="C5" s="203"/>
      <c r="D5" s="203"/>
      <c r="E5" s="203"/>
    </row>
    <row r="6" spans="1:7" ht="24" customHeight="1" x14ac:dyDescent="0.25">
      <c r="A6" s="203"/>
      <c r="B6" s="203" t="s">
        <v>127</v>
      </c>
      <c r="C6" s="203" t="s">
        <v>128</v>
      </c>
      <c r="D6" s="203" t="s">
        <v>129</v>
      </c>
      <c r="E6" s="203" t="s">
        <v>130</v>
      </c>
      <c r="G6" s="203"/>
    </row>
    <row r="7" spans="1:7" x14ac:dyDescent="0.25">
      <c r="A7" s="203" t="s">
        <v>730</v>
      </c>
      <c r="B7">
        <v>0</v>
      </c>
      <c r="C7">
        <v>190842</v>
      </c>
      <c r="D7">
        <v>214181</v>
      </c>
      <c r="E7">
        <v>115159</v>
      </c>
    </row>
    <row r="8" spans="1:7" x14ac:dyDescent="0.25">
      <c r="A8" s="203" t="s">
        <v>131</v>
      </c>
      <c r="B8">
        <v>71940</v>
      </c>
      <c r="C8">
        <v>0</v>
      </c>
      <c r="D8">
        <v>64668</v>
      </c>
      <c r="E8">
        <v>0</v>
      </c>
    </row>
    <row r="9" spans="1:7" x14ac:dyDescent="0.25">
      <c r="A9" s="203" t="s">
        <v>731</v>
      </c>
      <c r="B9">
        <v>41427</v>
      </c>
      <c r="C9">
        <v>0</v>
      </c>
      <c r="D9">
        <v>16860.599999999999</v>
      </c>
      <c r="E9">
        <v>15040.199999999999</v>
      </c>
    </row>
    <row r="10" spans="1:7" x14ac:dyDescent="0.25">
      <c r="A10" s="203" t="s">
        <v>132</v>
      </c>
      <c r="B10">
        <v>837</v>
      </c>
      <c r="C10">
        <v>1550</v>
      </c>
      <c r="D10">
        <v>594</v>
      </c>
      <c r="E10">
        <v>534</v>
      </c>
    </row>
    <row r="11" spans="1:7" x14ac:dyDescent="0.25">
      <c r="A11" s="203" t="s">
        <v>732</v>
      </c>
      <c r="B11">
        <v>0</v>
      </c>
      <c r="C11">
        <v>18162</v>
      </c>
      <c r="D11">
        <v>1434</v>
      </c>
      <c r="E11">
        <v>1317</v>
      </c>
    </row>
    <row r="12" spans="1:7" x14ac:dyDescent="0.25">
      <c r="A12" s="203" t="s">
        <v>133</v>
      </c>
      <c r="B12">
        <v>14917</v>
      </c>
      <c r="C12">
        <v>7076</v>
      </c>
      <c r="D12">
        <v>35434</v>
      </c>
      <c r="E12">
        <v>8586</v>
      </c>
    </row>
    <row r="13" spans="1:7" x14ac:dyDescent="0.25">
      <c r="A13" s="203"/>
    </row>
    <row r="14" spans="1:7" x14ac:dyDescent="0.25">
      <c r="A14" s="203"/>
    </row>
    <row r="16" spans="1:7" x14ac:dyDescent="0.25">
      <c r="A16" s="253" t="s">
        <v>586</v>
      </c>
    </row>
    <row r="17" spans="1:7" x14ac:dyDescent="0.25">
      <c r="A17" s="253" t="s">
        <v>269</v>
      </c>
    </row>
    <row r="18" spans="1:7" x14ac:dyDescent="0.25">
      <c r="A18" s="253" t="s">
        <v>266</v>
      </c>
    </row>
    <row r="19" spans="1:7" x14ac:dyDescent="0.25">
      <c r="A19" s="254" t="s">
        <v>733</v>
      </c>
    </row>
    <row r="20" spans="1:7" x14ac:dyDescent="0.25">
      <c r="A20" s="254" t="s">
        <v>270</v>
      </c>
    </row>
    <row r="21" spans="1:7" x14ac:dyDescent="0.25">
      <c r="A21" s="254" t="s">
        <v>271</v>
      </c>
    </row>
    <row r="22" spans="1:7" x14ac:dyDescent="0.25">
      <c r="A22" s="253" t="s">
        <v>272</v>
      </c>
    </row>
    <row r="23" spans="1:7" x14ac:dyDescent="0.25">
      <c r="A23" s="254" t="s">
        <v>273</v>
      </c>
    </row>
    <row r="24" spans="1:7" ht="15.75" thickBot="1" x14ac:dyDescent="0.3">
      <c r="A24" s="254" t="s">
        <v>734</v>
      </c>
    </row>
    <row r="25" spans="1:7" x14ac:dyDescent="0.25">
      <c r="A25" s="103"/>
      <c r="B25" s="104"/>
      <c r="C25" s="104"/>
      <c r="D25" s="104"/>
      <c r="E25" s="104"/>
      <c r="F25" s="104"/>
      <c r="G25" s="105"/>
    </row>
    <row r="26" spans="1:7" x14ac:dyDescent="0.25">
      <c r="A26" s="106"/>
      <c r="G26" s="107"/>
    </row>
    <row r="27" spans="1:7" x14ac:dyDescent="0.25">
      <c r="A27" s="106"/>
      <c r="G27" s="107"/>
    </row>
    <row r="28" spans="1:7" x14ac:dyDescent="0.25">
      <c r="A28" s="106"/>
      <c r="G28" s="107"/>
    </row>
    <row r="29" spans="1:7" x14ac:dyDescent="0.25">
      <c r="A29" s="106"/>
      <c r="G29" s="107"/>
    </row>
    <row r="30" spans="1:7" x14ac:dyDescent="0.25">
      <c r="A30" s="106"/>
      <c r="G30" s="107"/>
    </row>
    <row r="31" spans="1:7" x14ac:dyDescent="0.25">
      <c r="A31" s="106"/>
      <c r="B31" t="s">
        <v>575</v>
      </c>
      <c r="G31" s="107"/>
    </row>
    <row r="32" spans="1:7" x14ac:dyDescent="0.25">
      <c r="A32" s="106"/>
      <c r="G32" s="107"/>
    </row>
    <row r="33" spans="1:7" x14ac:dyDescent="0.25">
      <c r="A33" s="106"/>
      <c r="G33" s="107"/>
    </row>
    <row r="34" spans="1:7" x14ac:dyDescent="0.25">
      <c r="A34" s="106"/>
      <c r="G34" s="107"/>
    </row>
    <row r="35" spans="1:7" x14ac:dyDescent="0.25">
      <c r="A35" s="106"/>
      <c r="G35" s="107"/>
    </row>
    <row r="36" spans="1:7" x14ac:dyDescent="0.25">
      <c r="A36" s="106"/>
      <c r="G36" s="107"/>
    </row>
    <row r="37" spans="1:7" x14ac:dyDescent="0.25">
      <c r="A37" s="106"/>
      <c r="G37" s="107"/>
    </row>
    <row r="38" spans="1:7" x14ac:dyDescent="0.25">
      <c r="A38" s="106"/>
      <c r="G38" s="107"/>
    </row>
    <row r="39" spans="1:7" x14ac:dyDescent="0.25">
      <c r="A39" s="106"/>
      <c r="G39" s="107"/>
    </row>
    <row r="40" spans="1:7" x14ac:dyDescent="0.25">
      <c r="A40" s="106"/>
      <c r="G40" s="107"/>
    </row>
    <row r="41" spans="1:7" ht="15.75" thickBot="1" x14ac:dyDescent="0.3">
      <c r="A41" s="108"/>
      <c r="B41" s="109"/>
      <c r="C41" s="109"/>
      <c r="D41" s="109"/>
      <c r="E41" s="109"/>
      <c r="F41" s="109"/>
      <c r="G41" s="110"/>
    </row>
    <row r="48" spans="1:7" x14ac:dyDescent="0.25">
      <c r="A48" s="9"/>
    </row>
  </sheetData>
  <pageMargins left="0.70866141732283472" right="0.70866141732283472" top="0.78740157480314965" bottom="0.78740157480314965" header="0.31496062992125984" footer="0.31496062992125984"/>
  <pageSetup paperSize="9" scale="9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9"/>
  <sheetViews>
    <sheetView workbookViewId="0"/>
  </sheetViews>
  <sheetFormatPr baseColWidth="10" defaultColWidth="11.42578125" defaultRowHeight="15" x14ac:dyDescent="0.25"/>
  <cols>
    <col min="1" max="1" width="24.140625" customWidth="1"/>
  </cols>
  <sheetData>
    <row r="1" spans="1:7" ht="21" x14ac:dyDescent="0.35">
      <c r="A1" s="162" t="s">
        <v>126</v>
      </c>
      <c r="B1" s="618" t="s">
        <v>1302</v>
      </c>
      <c r="C1" s="620"/>
      <c r="D1" s="615"/>
    </row>
    <row r="3" spans="1:7" ht="21" x14ac:dyDescent="0.35">
      <c r="A3" s="353" t="s">
        <v>729</v>
      </c>
      <c r="B3" s="203"/>
      <c r="C3" s="203"/>
      <c r="D3" s="203"/>
      <c r="E3" s="203"/>
    </row>
    <row r="4" spans="1:7" x14ac:dyDescent="0.25">
      <c r="A4" s="203"/>
      <c r="B4" s="203"/>
      <c r="C4" s="203"/>
      <c r="D4" s="203"/>
      <c r="E4" s="203"/>
    </row>
    <row r="5" spans="1:7" x14ac:dyDescent="0.25">
      <c r="A5" s="203"/>
      <c r="B5" s="203"/>
      <c r="C5" s="203"/>
      <c r="D5" s="203"/>
      <c r="E5" s="203"/>
    </row>
    <row r="6" spans="1:7" ht="24" customHeight="1" x14ac:dyDescent="0.25">
      <c r="A6" s="203"/>
      <c r="B6" s="115" t="s">
        <v>127</v>
      </c>
      <c r="C6" s="115" t="s">
        <v>128</v>
      </c>
      <c r="D6" s="115" t="s">
        <v>129</v>
      </c>
      <c r="E6" s="115" t="s">
        <v>130</v>
      </c>
      <c r="F6" s="115" t="s">
        <v>45</v>
      </c>
      <c r="G6" s="203"/>
    </row>
    <row r="7" spans="1:7" x14ac:dyDescent="0.25">
      <c r="A7" s="352" t="s">
        <v>730</v>
      </c>
      <c r="B7" s="56">
        <v>0</v>
      </c>
      <c r="C7" s="56">
        <v>190842</v>
      </c>
      <c r="D7" s="56">
        <v>214181</v>
      </c>
      <c r="E7" s="56">
        <v>115159</v>
      </c>
      <c r="F7" s="56">
        <f t="shared" ref="F7:F13" si="0">SUM(B7:E7)</f>
        <v>520182</v>
      </c>
    </row>
    <row r="8" spans="1:7" x14ac:dyDescent="0.25">
      <c r="A8" s="352" t="s">
        <v>131</v>
      </c>
      <c r="B8" s="56">
        <v>71940</v>
      </c>
      <c r="C8" s="56">
        <v>0</v>
      </c>
      <c r="D8" s="56">
        <v>64668</v>
      </c>
      <c r="E8" s="56">
        <v>0</v>
      </c>
      <c r="F8" s="56">
        <f t="shared" si="0"/>
        <v>136608</v>
      </c>
    </row>
    <row r="9" spans="1:7" x14ac:dyDescent="0.25">
      <c r="A9" s="352" t="s">
        <v>731</v>
      </c>
      <c r="B9" s="56">
        <v>41427</v>
      </c>
      <c r="C9" s="56">
        <v>0</v>
      </c>
      <c r="D9" s="56">
        <v>16860.599999999999</v>
      </c>
      <c r="E9" s="56">
        <v>15040.199999999999</v>
      </c>
      <c r="F9" s="56">
        <f t="shared" si="0"/>
        <v>73327.8</v>
      </c>
    </row>
    <row r="10" spans="1:7" x14ac:dyDescent="0.25">
      <c r="A10" s="352" t="s">
        <v>132</v>
      </c>
      <c r="B10" s="56">
        <v>837</v>
      </c>
      <c r="C10" s="56">
        <v>1550</v>
      </c>
      <c r="D10" s="56">
        <v>594</v>
      </c>
      <c r="E10" s="56">
        <v>534</v>
      </c>
      <c r="F10" s="56">
        <f t="shared" si="0"/>
        <v>3515</v>
      </c>
    </row>
    <row r="11" spans="1:7" x14ac:dyDescent="0.25">
      <c r="A11" s="352" t="s">
        <v>732</v>
      </c>
      <c r="B11" s="56">
        <v>0</v>
      </c>
      <c r="C11" s="56">
        <v>18162</v>
      </c>
      <c r="D11" s="56">
        <v>1434</v>
      </c>
      <c r="E11" s="56">
        <v>1317</v>
      </c>
      <c r="F11" s="56">
        <f t="shared" si="0"/>
        <v>20913</v>
      </c>
    </row>
    <row r="12" spans="1:7" x14ac:dyDescent="0.25">
      <c r="A12" s="352" t="s">
        <v>133</v>
      </c>
      <c r="B12" s="56">
        <v>14917</v>
      </c>
      <c r="C12" s="56">
        <v>7076</v>
      </c>
      <c r="D12" s="56">
        <v>35434</v>
      </c>
      <c r="E12" s="56">
        <v>8586</v>
      </c>
      <c r="F12" s="56">
        <f t="shared" si="0"/>
        <v>66013</v>
      </c>
    </row>
    <row r="13" spans="1:7" x14ac:dyDescent="0.25">
      <c r="A13" s="352" t="s">
        <v>45</v>
      </c>
      <c r="B13" s="56">
        <f>SUM(B7:B12)</f>
        <v>129121</v>
      </c>
      <c r="C13" s="56">
        <f>SUM(C7:C12)</f>
        <v>217630</v>
      </c>
      <c r="D13" s="56">
        <f>SUM(D7:D12)</f>
        <v>333171.59999999998</v>
      </c>
      <c r="E13" s="56">
        <f>SUM(E7:E12)</f>
        <v>140636.20000000001</v>
      </c>
      <c r="F13" s="56">
        <f t="shared" si="0"/>
        <v>820558.8</v>
      </c>
    </row>
    <row r="14" spans="1:7" x14ac:dyDescent="0.25">
      <c r="F14" s="56"/>
    </row>
    <row r="15" spans="1:7" x14ac:dyDescent="0.25">
      <c r="A15" s="352" t="s">
        <v>587</v>
      </c>
      <c r="B15" s="56"/>
      <c r="C15" s="56">
        <f>C13-B13</f>
        <v>88509</v>
      </c>
      <c r="D15" s="56">
        <f>D13-C13</f>
        <v>115541.59999999998</v>
      </c>
      <c r="E15" s="56">
        <f>E13-D13</f>
        <v>-192535.39999999997</v>
      </c>
    </row>
    <row r="17" spans="1:7" x14ac:dyDescent="0.25">
      <c r="A17" s="253" t="s">
        <v>586</v>
      </c>
    </row>
    <row r="18" spans="1:7" x14ac:dyDescent="0.25">
      <c r="A18" s="253" t="s">
        <v>269</v>
      </c>
    </row>
    <row r="19" spans="1:7" x14ac:dyDescent="0.25">
      <c r="A19" s="253" t="s">
        <v>266</v>
      </c>
    </row>
    <row r="20" spans="1:7" x14ac:dyDescent="0.25">
      <c r="A20" s="254" t="s">
        <v>733</v>
      </c>
    </row>
    <row r="21" spans="1:7" x14ac:dyDescent="0.25">
      <c r="A21" s="254" t="s">
        <v>270</v>
      </c>
    </row>
    <row r="22" spans="1:7" x14ac:dyDescent="0.25">
      <c r="A22" s="254" t="s">
        <v>271</v>
      </c>
    </row>
    <row r="23" spans="1:7" x14ac:dyDescent="0.25">
      <c r="A23" s="253" t="s">
        <v>272</v>
      </c>
    </row>
    <row r="24" spans="1:7" x14ac:dyDescent="0.25">
      <c r="A24" s="254" t="s">
        <v>273</v>
      </c>
    </row>
    <row r="25" spans="1:7" ht="15.75" thickBot="1" x14ac:dyDescent="0.3">
      <c r="A25" s="254" t="s">
        <v>734</v>
      </c>
    </row>
    <row r="26" spans="1:7" x14ac:dyDescent="0.25">
      <c r="A26" s="103"/>
      <c r="B26" s="104"/>
      <c r="C26" s="104"/>
      <c r="D26" s="104"/>
      <c r="E26" s="104"/>
      <c r="F26" s="104"/>
      <c r="G26" s="105"/>
    </row>
    <row r="27" spans="1:7" x14ac:dyDescent="0.25">
      <c r="A27" s="106"/>
      <c r="G27" s="107"/>
    </row>
    <row r="28" spans="1:7" x14ac:dyDescent="0.25">
      <c r="A28" s="106"/>
      <c r="G28" s="107"/>
    </row>
    <row r="29" spans="1:7" x14ac:dyDescent="0.25">
      <c r="A29" s="106"/>
      <c r="G29" s="107"/>
    </row>
    <row r="30" spans="1:7" x14ac:dyDescent="0.25">
      <c r="A30" s="106"/>
      <c r="G30" s="107"/>
    </row>
    <row r="31" spans="1:7" x14ac:dyDescent="0.25">
      <c r="A31" s="106"/>
      <c r="G31" s="107"/>
    </row>
    <row r="32" spans="1:7" x14ac:dyDescent="0.25">
      <c r="A32" s="106"/>
      <c r="B32" t="s">
        <v>575</v>
      </c>
      <c r="G32" s="107"/>
    </row>
    <row r="33" spans="1:7" x14ac:dyDescent="0.25">
      <c r="A33" s="106"/>
      <c r="G33" s="107"/>
    </row>
    <row r="34" spans="1:7" x14ac:dyDescent="0.25">
      <c r="A34" s="106"/>
      <c r="G34" s="107"/>
    </row>
    <row r="35" spans="1:7" x14ac:dyDescent="0.25">
      <c r="A35" s="106"/>
      <c r="G35" s="107"/>
    </row>
    <row r="36" spans="1:7" x14ac:dyDescent="0.25">
      <c r="A36" s="106"/>
      <c r="G36" s="107"/>
    </row>
    <row r="37" spans="1:7" x14ac:dyDescent="0.25">
      <c r="A37" s="106"/>
      <c r="G37" s="107"/>
    </row>
    <row r="38" spans="1:7" x14ac:dyDescent="0.25">
      <c r="A38" s="106"/>
      <c r="G38" s="107"/>
    </row>
    <row r="39" spans="1:7" x14ac:dyDescent="0.25">
      <c r="A39" s="106"/>
      <c r="G39" s="107"/>
    </row>
    <row r="40" spans="1:7" x14ac:dyDescent="0.25">
      <c r="A40" s="106"/>
      <c r="G40" s="107"/>
    </row>
    <row r="41" spans="1:7" x14ac:dyDescent="0.25">
      <c r="A41" s="106"/>
      <c r="G41" s="107"/>
    </row>
    <row r="42" spans="1:7" ht="15.75" thickBot="1" x14ac:dyDescent="0.3">
      <c r="A42" s="108"/>
      <c r="B42" s="109"/>
      <c r="C42" s="109"/>
      <c r="D42" s="109"/>
      <c r="E42" s="109"/>
      <c r="F42" s="109"/>
      <c r="G42" s="110"/>
    </row>
    <row r="49" spans="1:1" x14ac:dyDescent="0.25">
      <c r="A49" s="9"/>
    </row>
  </sheetData>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56"/>
  <sheetViews>
    <sheetView topLeftCell="A39" workbookViewId="0">
      <selection activeCell="A39" sqref="A39"/>
    </sheetView>
  </sheetViews>
  <sheetFormatPr baseColWidth="10" defaultColWidth="11.42578125" defaultRowHeight="15" x14ac:dyDescent="0.25"/>
  <cols>
    <col min="2" max="2" width="15.28515625" customWidth="1"/>
    <col min="3" max="3" width="20.42578125" bestFit="1" customWidth="1"/>
    <col min="4" max="4" width="18.28515625" bestFit="1" customWidth="1"/>
    <col min="5" max="5" width="18.85546875" bestFit="1" customWidth="1"/>
    <col min="6" max="6" width="12.5703125" bestFit="1" customWidth="1"/>
    <col min="7" max="7" width="12.140625" bestFit="1" customWidth="1"/>
    <col min="8" max="8" width="13" bestFit="1" customWidth="1"/>
    <col min="9" max="9" width="16.85546875" bestFit="1" customWidth="1"/>
  </cols>
  <sheetData>
    <row r="1" spans="1:13" ht="21" x14ac:dyDescent="0.35">
      <c r="A1" s="162" t="s">
        <v>148</v>
      </c>
      <c r="C1" s="618" t="s">
        <v>1301</v>
      </c>
      <c r="D1" s="615"/>
    </row>
    <row r="3" spans="1:13" x14ac:dyDescent="0.25">
      <c r="A3" s="300" t="s">
        <v>274</v>
      </c>
    </row>
    <row r="5" spans="1:13" x14ac:dyDescent="0.25">
      <c r="A5" s="205" t="s">
        <v>149</v>
      </c>
      <c r="B5" s="205" t="s">
        <v>150</v>
      </c>
      <c r="C5" s="205" t="s">
        <v>151</v>
      </c>
      <c r="D5" s="205" t="s">
        <v>87</v>
      </c>
      <c r="E5" s="205" t="s">
        <v>88</v>
      </c>
      <c r="F5" s="205" t="s">
        <v>152</v>
      </c>
      <c r="G5" s="205" t="s">
        <v>153</v>
      </c>
      <c r="H5" s="205" t="s">
        <v>154</v>
      </c>
      <c r="I5" s="205" t="s">
        <v>155</v>
      </c>
    </row>
    <row r="6" spans="1:13" x14ac:dyDescent="0.25">
      <c r="A6" s="286">
        <v>16053</v>
      </c>
      <c r="B6" s="249" t="s">
        <v>156</v>
      </c>
      <c r="C6" s="205" t="s">
        <v>169</v>
      </c>
      <c r="D6" s="205"/>
      <c r="E6" s="250">
        <v>1.99</v>
      </c>
      <c r="F6" s="356">
        <v>23</v>
      </c>
      <c r="G6" s="356">
        <v>27</v>
      </c>
      <c r="H6" s="286">
        <v>4112</v>
      </c>
      <c r="I6" s="205"/>
      <c r="M6" s="251"/>
    </row>
    <row r="7" spans="1:13" x14ac:dyDescent="0.25">
      <c r="A7" s="286">
        <v>16480</v>
      </c>
      <c r="B7" s="249" t="s">
        <v>156</v>
      </c>
      <c r="C7" s="205" t="s">
        <v>170</v>
      </c>
      <c r="D7" s="205"/>
      <c r="E7" s="250">
        <v>4.99</v>
      </c>
      <c r="F7" s="356">
        <v>18</v>
      </c>
      <c r="G7" s="356">
        <v>16</v>
      </c>
      <c r="H7" s="286">
        <v>4112</v>
      </c>
      <c r="I7" s="205"/>
      <c r="M7" s="251"/>
    </row>
    <row r="8" spans="1:13" x14ac:dyDescent="0.25">
      <c r="A8" s="286">
        <v>16764</v>
      </c>
      <c r="B8" s="249" t="s">
        <v>156</v>
      </c>
      <c r="C8" s="205" t="s">
        <v>171</v>
      </c>
      <c r="D8" s="205"/>
      <c r="E8" s="250">
        <v>2.99</v>
      </c>
      <c r="F8" s="356">
        <v>18</v>
      </c>
      <c r="G8" s="356">
        <v>22</v>
      </c>
      <c r="H8" s="286">
        <v>4112</v>
      </c>
      <c r="I8" s="205"/>
      <c r="M8" s="251"/>
    </row>
    <row r="9" spans="1:13" x14ac:dyDescent="0.25">
      <c r="A9" s="286">
        <v>57941</v>
      </c>
      <c r="B9" s="205" t="s">
        <v>172</v>
      </c>
      <c r="C9" s="205" t="s">
        <v>184</v>
      </c>
      <c r="D9" s="205"/>
      <c r="E9" s="250">
        <v>5.95</v>
      </c>
      <c r="F9" s="356">
        <v>23</v>
      </c>
      <c r="G9" s="356">
        <v>39</v>
      </c>
      <c r="H9" s="286">
        <v>4859</v>
      </c>
      <c r="I9" s="205"/>
      <c r="M9" s="251"/>
    </row>
    <row r="10" spans="1:13" x14ac:dyDescent="0.25">
      <c r="A10" s="286">
        <v>58208</v>
      </c>
      <c r="B10" s="205" t="s">
        <v>172</v>
      </c>
      <c r="C10" s="205" t="s">
        <v>185</v>
      </c>
      <c r="D10" s="286"/>
      <c r="E10" s="354">
        <v>2.99</v>
      </c>
      <c r="F10" s="356">
        <v>23</v>
      </c>
      <c r="G10" s="356">
        <v>27</v>
      </c>
      <c r="H10" s="286">
        <v>4859</v>
      </c>
      <c r="I10" s="286"/>
      <c r="M10" s="251"/>
    </row>
    <row r="11" spans="1:13" x14ac:dyDescent="0.25">
      <c r="A11" s="286">
        <v>69460</v>
      </c>
      <c r="B11" s="355" t="s">
        <v>172</v>
      </c>
      <c r="C11" s="205" t="s">
        <v>186</v>
      </c>
      <c r="D11" s="286"/>
      <c r="E11" s="354">
        <v>13.99</v>
      </c>
      <c r="F11" s="356">
        <v>12</v>
      </c>
      <c r="G11" s="356">
        <v>18</v>
      </c>
      <c r="H11" s="286">
        <v>4859</v>
      </c>
      <c r="I11" s="286"/>
      <c r="M11" s="252"/>
    </row>
    <row r="12" spans="1:13" x14ac:dyDescent="0.25">
      <c r="A12" s="286">
        <v>15086</v>
      </c>
      <c r="B12" s="249" t="s">
        <v>156</v>
      </c>
      <c r="C12" s="205" t="s">
        <v>168</v>
      </c>
      <c r="D12" s="205"/>
      <c r="E12" s="250">
        <v>2.99</v>
      </c>
      <c r="F12" s="356">
        <v>10</v>
      </c>
      <c r="G12" s="356">
        <v>14</v>
      </c>
      <c r="H12" s="286">
        <v>5160</v>
      </c>
      <c r="I12" s="205"/>
      <c r="M12" s="252"/>
    </row>
    <row r="13" spans="1:13" x14ac:dyDescent="0.25">
      <c r="A13" s="286">
        <v>11004</v>
      </c>
      <c r="B13" s="249" t="s">
        <v>156</v>
      </c>
      <c r="C13" s="249" t="s">
        <v>157</v>
      </c>
      <c r="D13" s="249"/>
      <c r="E13" s="250">
        <v>1.99</v>
      </c>
      <c r="F13" s="356">
        <v>12</v>
      </c>
      <c r="G13" s="356">
        <v>19</v>
      </c>
      <c r="H13" s="286">
        <v>5184</v>
      </c>
      <c r="I13" s="205"/>
      <c r="M13" s="252"/>
    </row>
    <row r="14" spans="1:13" x14ac:dyDescent="0.25">
      <c r="A14" s="286">
        <v>11017</v>
      </c>
      <c r="B14" s="249" t="s">
        <v>156</v>
      </c>
      <c r="C14" s="205" t="s">
        <v>158</v>
      </c>
      <c r="D14" s="249"/>
      <c r="E14" s="250">
        <v>3.95</v>
      </c>
      <c r="F14" s="356">
        <v>23</v>
      </c>
      <c r="G14" s="356">
        <v>22</v>
      </c>
      <c r="H14" s="286">
        <v>5184</v>
      </c>
      <c r="I14" s="205"/>
      <c r="M14" s="252"/>
    </row>
    <row r="15" spans="1:13" x14ac:dyDescent="0.25">
      <c r="A15" s="286">
        <v>11489</v>
      </c>
      <c r="B15" s="249" t="s">
        <v>156</v>
      </c>
      <c r="C15" s="249" t="s">
        <v>159</v>
      </c>
      <c r="D15" s="249"/>
      <c r="E15" s="250">
        <v>19.95</v>
      </c>
      <c r="F15" s="356">
        <v>23</v>
      </c>
      <c r="G15" s="356">
        <v>28</v>
      </c>
      <c r="H15" s="286">
        <v>5184</v>
      </c>
      <c r="I15" s="205"/>
      <c r="M15" s="252"/>
    </row>
    <row r="16" spans="1:13" x14ac:dyDescent="0.25">
      <c r="A16" s="286">
        <v>11902</v>
      </c>
      <c r="B16" s="249" t="s">
        <v>156</v>
      </c>
      <c r="C16" s="249" t="s">
        <v>160</v>
      </c>
      <c r="D16" s="249"/>
      <c r="E16" s="250">
        <v>12.95</v>
      </c>
      <c r="F16" s="356">
        <v>12</v>
      </c>
      <c r="G16" s="356">
        <v>14</v>
      </c>
      <c r="H16" s="286">
        <v>5256</v>
      </c>
      <c r="I16" s="205"/>
      <c r="M16" s="252"/>
    </row>
    <row r="17" spans="1:13" x14ac:dyDescent="0.25">
      <c r="A17" s="286">
        <v>12112</v>
      </c>
      <c r="B17" s="249" t="s">
        <v>156</v>
      </c>
      <c r="C17" s="249" t="s">
        <v>161</v>
      </c>
      <c r="D17" s="249"/>
      <c r="E17" s="250">
        <v>4.95</v>
      </c>
      <c r="F17" s="356">
        <v>11</v>
      </c>
      <c r="G17" s="356">
        <v>9</v>
      </c>
      <c r="H17" s="286">
        <v>5257</v>
      </c>
      <c r="I17" s="205"/>
      <c r="M17" s="252"/>
    </row>
    <row r="18" spans="1:13" x14ac:dyDescent="0.25">
      <c r="A18" s="286">
        <v>12418</v>
      </c>
      <c r="B18" s="249" t="s">
        <v>156</v>
      </c>
      <c r="C18" s="205" t="s">
        <v>162</v>
      </c>
      <c r="D18" s="205"/>
      <c r="E18" s="250">
        <v>6.95</v>
      </c>
      <c r="F18" s="356">
        <v>8</v>
      </c>
      <c r="G18" s="356">
        <v>14</v>
      </c>
      <c r="H18" s="286">
        <v>5367</v>
      </c>
      <c r="I18" s="205"/>
      <c r="M18" s="252"/>
    </row>
    <row r="19" spans="1:13" x14ac:dyDescent="0.25">
      <c r="A19" s="286">
        <v>12421</v>
      </c>
      <c r="B19" s="249" t="s">
        <v>156</v>
      </c>
      <c r="C19" s="249" t="s">
        <v>163</v>
      </c>
      <c r="D19" s="205"/>
      <c r="E19" s="250">
        <v>19.95</v>
      </c>
      <c r="F19" s="356">
        <v>8</v>
      </c>
      <c r="G19" s="356">
        <v>13</v>
      </c>
      <c r="H19" s="286">
        <v>5695</v>
      </c>
      <c r="I19" s="205"/>
      <c r="M19" s="252"/>
    </row>
    <row r="20" spans="1:13" x14ac:dyDescent="0.25">
      <c r="A20" s="286">
        <v>15076</v>
      </c>
      <c r="B20" s="249" t="s">
        <v>156</v>
      </c>
      <c r="C20" s="205" t="s">
        <v>167</v>
      </c>
      <c r="D20" s="205"/>
      <c r="E20" s="250">
        <v>9.98</v>
      </c>
      <c r="F20" s="356">
        <v>11</v>
      </c>
      <c r="G20" s="356">
        <v>14</v>
      </c>
      <c r="H20" s="286">
        <v>5758</v>
      </c>
      <c r="I20" s="205"/>
      <c r="M20" s="252"/>
    </row>
    <row r="21" spans="1:13" x14ac:dyDescent="0.25">
      <c r="A21" s="286">
        <v>12424</v>
      </c>
      <c r="B21" s="249" t="s">
        <v>156</v>
      </c>
      <c r="C21" s="205" t="s">
        <v>164</v>
      </c>
      <c r="D21" s="205"/>
      <c r="E21" s="250">
        <v>6.95</v>
      </c>
      <c r="F21" s="356">
        <v>8</v>
      </c>
      <c r="G21" s="356">
        <v>11</v>
      </c>
      <c r="H21" s="286">
        <v>5920</v>
      </c>
      <c r="I21" s="205"/>
      <c r="M21" s="252"/>
    </row>
    <row r="22" spans="1:13" x14ac:dyDescent="0.25">
      <c r="A22" s="286">
        <v>33159</v>
      </c>
      <c r="B22" s="205" t="s">
        <v>172</v>
      </c>
      <c r="C22" s="205" t="s">
        <v>181</v>
      </c>
      <c r="D22" s="205"/>
      <c r="E22" s="250">
        <v>5.99</v>
      </c>
      <c r="F22" s="356">
        <v>18</v>
      </c>
      <c r="G22" s="356">
        <v>28</v>
      </c>
      <c r="H22" s="286">
        <v>6011</v>
      </c>
      <c r="I22" s="205"/>
      <c r="M22" s="252"/>
    </row>
    <row r="23" spans="1:13" x14ac:dyDescent="0.25">
      <c r="A23" s="286">
        <v>14370</v>
      </c>
      <c r="B23" s="249" t="s">
        <v>156</v>
      </c>
      <c r="C23" s="249" t="s">
        <v>165</v>
      </c>
      <c r="D23" s="205"/>
      <c r="E23" s="250">
        <v>8.9499999999999993</v>
      </c>
      <c r="F23" s="356">
        <v>7</v>
      </c>
      <c r="G23" s="356">
        <v>9</v>
      </c>
      <c r="H23" s="286">
        <v>6180</v>
      </c>
      <c r="I23" s="205"/>
      <c r="M23" s="252"/>
    </row>
    <row r="24" spans="1:13" x14ac:dyDescent="0.25">
      <c r="A24" s="286">
        <v>14987</v>
      </c>
      <c r="B24" s="249" t="s">
        <v>156</v>
      </c>
      <c r="C24" s="205" t="s">
        <v>166</v>
      </c>
      <c r="D24" s="205"/>
      <c r="E24" s="250">
        <v>7.95</v>
      </c>
      <c r="F24" s="356">
        <v>6</v>
      </c>
      <c r="G24" s="356">
        <v>5</v>
      </c>
      <c r="H24" s="286">
        <v>6180</v>
      </c>
      <c r="I24" s="205"/>
      <c r="M24" s="252"/>
    </row>
    <row r="25" spans="1:13" x14ac:dyDescent="0.25">
      <c r="A25" s="286">
        <v>47847</v>
      </c>
      <c r="B25" s="205" t="s">
        <v>172</v>
      </c>
      <c r="C25" s="205" t="s">
        <v>182</v>
      </c>
      <c r="D25" s="205"/>
      <c r="E25" s="250">
        <v>9.9499999999999993</v>
      </c>
      <c r="F25" s="356">
        <v>13</v>
      </c>
      <c r="G25" s="356">
        <v>18</v>
      </c>
      <c r="H25" s="286">
        <v>6748</v>
      </c>
      <c r="I25" s="205"/>
      <c r="M25" s="252"/>
    </row>
    <row r="26" spans="1:13" x14ac:dyDescent="0.25">
      <c r="A26" s="286">
        <v>21400</v>
      </c>
      <c r="B26" s="205" t="s">
        <v>172</v>
      </c>
      <c r="C26" s="205" t="s">
        <v>173</v>
      </c>
      <c r="D26" s="205"/>
      <c r="E26" s="250">
        <v>5.95</v>
      </c>
      <c r="F26" s="356">
        <v>8</v>
      </c>
      <c r="G26" s="356">
        <v>11</v>
      </c>
      <c r="H26" s="286">
        <v>6805</v>
      </c>
      <c r="I26" s="205"/>
      <c r="M26" s="252"/>
    </row>
    <row r="27" spans="1:13" x14ac:dyDescent="0.25">
      <c r="A27" s="286">
        <v>23470</v>
      </c>
      <c r="B27" s="205" t="s">
        <v>172</v>
      </c>
      <c r="C27" s="205" t="s">
        <v>174</v>
      </c>
      <c r="D27" s="205"/>
      <c r="E27" s="250">
        <v>4.9800000000000004</v>
      </c>
      <c r="F27" s="356">
        <v>8</v>
      </c>
      <c r="G27" s="356">
        <v>11</v>
      </c>
      <c r="H27" s="286">
        <v>6968</v>
      </c>
      <c r="I27" s="205"/>
      <c r="M27" s="252"/>
    </row>
    <row r="28" spans="1:13" x14ac:dyDescent="0.25">
      <c r="A28" s="286">
        <v>69919</v>
      </c>
      <c r="B28" s="205" t="s">
        <v>132</v>
      </c>
      <c r="C28" s="205" t="s">
        <v>187</v>
      </c>
      <c r="D28" s="286"/>
      <c r="E28" s="354">
        <v>139.94999999999999</v>
      </c>
      <c r="F28" s="356">
        <v>6</v>
      </c>
      <c r="G28" s="356">
        <v>4</v>
      </c>
      <c r="H28" s="286">
        <v>7412</v>
      </c>
      <c r="I28" s="286"/>
      <c r="M28" s="252"/>
    </row>
    <row r="29" spans="1:13" x14ac:dyDescent="0.25">
      <c r="A29" s="286">
        <v>23444</v>
      </c>
      <c r="B29" s="205" t="s">
        <v>172</v>
      </c>
      <c r="C29" s="205" t="s">
        <v>176</v>
      </c>
      <c r="D29" s="205"/>
      <c r="E29" s="250">
        <v>24.95</v>
      </c>
      <c r="F29" s="356">
        <v>6</v>
      </c>
      <c r="G29" s="356">
        <v>8</v>
      </c>
      <c r="H29" s="286">
        <v>7889</v>
      </c>
      <c r="I29" s="205"/>
      <c r="M29" s="252"/>
    </row>
    <row r="30" spans="1:13" x14ac:dyDescent="0.25">
      <c r="A30" s="286">
        <v>23504</v>
      </c>
      <c r="B30" s="205" t="s">
        <v>172</v>
      </c>
      <c r="C30" s="203" t="s">
        <v>175</v>
      </c>
      <c r="D30" s="205"/>
      <c r="E30" s="250">
        <v>5.98</v>
      </c>
      <c r="F30" s="356">
        <v>8</v>
      </c>
      <c r="G30" s="356">
        <v>10</v>
      </c>
      <c r="H30" s="286">
        <v>7889</v>
      </c>
      <c r="I30" s="205"/>
      <c r="M30" s="252"/>
    </row>
    <row r="31" spans="1:13" x14ac:dyDescent="0.25">
      <c r="A31" s="286">
        <v>23685</v>
      </c>
      <c r="B31" s="205" t="s">
        <v>172</v>
      </c>
      <c r="C31" s="205" t="s">
        <v>177</v>
      </c>
      <c r="D31" s="205"/>
      <c r="E31" s="250">
        <v>9.9499999999999993</v>
      </c>
      <c r="F31" s="356">
        <v>8</v>
      </c>
      <c r="G31" s="356">
        <v>14</v>
      </c>
      <c r="H31" s="286">
        <v>7889</v>
      </c>
      <c r="I31" s="205"/>
      <c r="M31" s="252"/>
    </row>
    <row r="32" spans="1:13" x14ac:dyDescent="0.25">
      <c r="A32" s="286">
        <v>24986</v>
      </c>
      <c r="B32" s="205" t="s">
        <v>172</v>
      </c>
      <c r="C32" s="205" t="s">
        <v>178</v>
      </c>
      <c r="D32" s="205"/>
      <c r="E32" s="250">
        <v>14.95</v>
      </c>
      <c r="F32" s="356">
        <v>8</v>
      </c>
      <c r="G32" s="356">
        <v>15</v>
      </c>
      <c r="H32" s="286">
        <v>7889</v>
      </c>
      <c r="I32" s="205"/>
      <c r="M32" s="252"/>
    </row>
    <row r="33" spans="1:13" x14ac:dyDescent="0.25">
      <c r="A33" s="286">
        <v>27592</v>
      </c>
      <c r="B33" s="205" t="s">
        <v>172</v>
      </c>
      <c r="C33" s="205" t="s">
        <v>179</v>
      </c>
      <c r="D33" s="205"/>
      <c r="E33" s="250">
        <v>19.95</v>
      </c>
      <c r="F33" s="356">
        <v>8</v>
      </c>
      <c r="G33" s="356">
        <v>10</v>
      </c>
      <c r="H33" s="286">
        <v>7889</v>
      </c>
      <c r="I33" s="205"/>
      <c r="M33" s="201"/>
    </row>
    <row r="34" spans="1:13" x14ac:dyDescent="0.25">
      <c r="A34" s="286">
        <v>33012</v>
      </c>
      <c r="B34" s="205" t="s">
        <v>172</v>
      </c>
      <c r="C34" s="205" t="s">
        <v>180</v>
      </c>
      <c r="D34" s="205"/>
      <c r="E34" s="250">
        <v>9.9499999999999993</v>
      </c>
      <c r="F34" s="356">
        <v>13</v>
      </c>
      <c r="G34" s="356">
        <v>12</v>
      </c>
      <c r="H34" s="286">
        <v>7889</v>
      </c>
      <c r="I34" s="205"/>
      <c r="M34" s="201"/>
    </row>
    <row r="35" spans="1:13" x14ac:dyDescent="0.25">
      <c r="A35" s="286">
        <v>48740</v>
      </c>
      <c r="B35" s="205" t="s">
        <v>172</v>
      </c>
      <c r="C35" s="205" t="s">
        <v>183</v>
      </c>
      <c r="D35" s="205"/>
      <c r="E35" s="250">
        <v>29.95</v>
      </c>
      <c r="F35" s="356">
        <v>11</v>
      </c>
      <c r="G35" s="356">
        <v>13</v>
      </c>
      <c r="H35" s="286">
        <v>7889</v>
      </c>
      <c r="I35" s="205"/>
      <c r="M35" s="201"/>
    </row>
    <row r="36" spans="1:13" x14ac:dyDescent="0.25">
      <c r="A36" s="286">
        <v>71356</v>
      </c>
      <c r="B36" s="205" t="s">
        <v>132</v>
      </c>
      <c r="C36" s="205" t="s">
        <v>189</v>
      </c>
      <c r="D36" s="286"/>
      <c r="E36" s="354">
        <v>99.95</v>
      </c>
      <c r="F36" s="356">
        <v>5</v>
      </c>
      <c r="G36" s="356">
        <v>7</v>
      </c>
      <c r="H36" s="286">
        <v>8369</v>
      </c>
      <c r="I36" s="286"/>
      <c r="M36" s="201"/>
    </row>
    <row r="37" spans="1:13" x14ac:dyDescent="0.25">
      <c r="A37" s="286">
        <v>74595</v>
      </c>
      <c r="B37" s="205" t="s">
        <v>132</v>
      </c>
      <c r="C37" s="205" t="s">
        <v>190</v>
      </c>
      <c r="D37" s="286"/>
      <c r="E37" s="354">
        <v>295.95</v>
      </c>
      <c r="F37" s="356">
        <v>5</v>
      </c>
      <c r="G37" s="356">
        <v>7</v>
      </c>
      <c r="H37" s="286">
        <v>8369</v>
      </c>
      <c r="I37" s="286"/>
      <c r="M37" s="201"/>
    </row>
    <row r="38" spans="1:13" x14ac:dyDescent="0.25">
      <c r="A38" s="286">
        <v>86548</v>
      </c>
      <c r="B38" s="205" t="s">
        <v>132</v>
      </c>
      <c r="C38" s="205" t="s">
        <v>191</v>
      </c>
      <c r="D38" s="286"/>
      <c r="E38" s="354">
        <v>249.95</v>
      </c>
      <c r="F38" s="356">
        <v>6</v>
      </c>
      <c r="G38" s="356">
        <v>9</v>
      </c>
      <c r="H38" s="286">
        <v>9261</v>
      </c>
      <c r="I38" s="286"/>
      <c r="M38" s="201"/>
    </row>
    <row r="39" spans="1:13" x14ac:dyDescent="0.25">
      <c r="A39" s="286">
        <v>87604</v>
      </c>
      <c r="B39" s="205" t="s">
        <v>132</v>
      </c>
      <c r="C39" s="205" t="s">
        <v>192</v>
      </c>
      <c r="D39" s="286"/>
      <c r="E39" s="354">
        <v>89.95</v>
      </c>
      <c r="F39" s="356">
        <v>6</v>
      </c>
      <c r="G39" s="356">
        <v>9</v>
      </c>
      <c r="H39" s="286">
        <v>9261</v>
      </c>
      <c r="I39" s="286"/>
      <c r="M39" s="201"/>
    </row>
    <row r="40" spans="1:13" x14ac:dyDescent="0.25">
      <c r="A40" s="286">
        <v>71695</v>
      </c>
      <c r="B40" s="205" t="s">
        <v>132</v>
      </c>
      <c r="C40" s="205" t="s">
        <v>188</v>
      </c>
      <c r="D40" s="286"/>
      <c r="E40" s="354">
        <v>49.95</v>
      </c>
      <c r="F40" s="356">
        <v>6</v>
      </c>
      <c r="G40" s="356">
        <v>8</v>
      </c>
      <c r="H40" s="286">
        <v>9479</v>
      </c>
      <c r="I40" s="286"/>
      <c r="M40" s="201"/>
    </row>
    <row r="41" spans="1:13" x14ac:dyDescent="0.25">
      <c r="A41" s="286">
        <v>94544</v>
      </c>
      <c r="B41" s="205" t="s">
        <v>132</v>
      </c>
      <c r="C41" s="205" t="s">
        <v>193</v>
      </c>
      <c r="D41" s="286"/>
      <c r="E41" s="354">
        <v>395.95</v>
      </c>
      <c r="F41" s="356">
        <v>5</v>
      </c>
      <c r="G41" s="356">
        <v>7</v>
      </c>
      <c r="H41" s="286">
        <v>9900</v>
      </c>
      <c r="I41" s="286"/>
      <c r="M41" s="201"/>
    </row>
    <row r="42" spans="1:13" x14ac:dyDescent="0.25">
      <c r="A42" s="286">
        <v>98434</v>
      </c>
      <c r="B42" s="205" t="s">
        <v>132</v>
      </c>
      <c r="C42" s="205" t="s">
        <v>194</v>
      </c>
      <c r="D42" s="286"/>
      <c r="E42" s="354">
        <v>495.95</v>
      </c>
      <c r="F42" s="356">
        <v>5</v>
      </c>
      <c r="G42" s="356">
        <v>7</v>
      </c>
      <c r="H42" s="286">
        <v>9900</v>
      </c>
      <c r="I42" s="286"/>
      <c r="M42" s="201"/>
    </row>
    <row r="46" spans="1:13" x14ac:dyDescent="0.25">
      <c r="A46" t="s">
        <v>275</v>
      </c>
    </row>
    <row r="47" spans="1:13" ht="30" customHeight="1" x14ac:dyDescent="0.25">
      <c r="A47" s="642" t="s">
        <v>660</v>
      </c>
      <c r="B47" s="642"/>
      <c r="C47" s="642"/>
      <c r="D47" s="642"/>
      <c r="E47" s="642"/>
      <c r="F47" s="642"/>
      <c r="G47" s="642"/>
      <c r="H47" s="642"/>
    </row>
    <row r="48" spans="1:13" x14ac:dyDescent="0.25">
      <c r="A48" t="s">
        <v>276</v>
      </c>
    </row>
    <row r="49" spans="1:8" x14ac:dyDescent="0.25">
      <c r="A49" t="s">
        <v>277</v>
      </c>
    </row>
    <row r="50" spans="1:8" x14ac:dyDescent="0.25">
      <c r="A50" t="s">
        <v>278</v>
      </c>
    </row>
    <row r="51" spans="1:8" ht="30" customHeight="1" x14ac:dyDescent="0.25">
      <c r="A51" s="642" t="s">
        <v>661</v>
      </c>
      <c r="B51" s="642"/>
      <c r="C51" s="642"/>
      <c r="D51" s="642"/>
      <c r="E51" s="642"/>
      <c r="F51" s="642"/>
      <c r="G51" s="642"/>
      <c r="H51" s="642"/>
    </row>
    <row r="52" spans="1:8" x14ac:dyDescent="0.25">
      <c r="A52" t="s">
        <v>280</v>
      </c>
    </row>
    <row r="53" spans="1:8" x14ac:dyDescent="0.25">
      <c r="A53" t="s">
        <v>592</v>
      </c>
    </row>
    <row r="54" spans="1:8" x14ac:dyDescent="0.25">
      <c r="A54" s="9" t="s">
        <v>281</v>
      </c>
    </row>
    <row r="55" spans="1:8" x14ac:dyDescent="0.25">
      <c r="A55" s="9" t="s">
        <v>282</v>
      </c>
    </row>
    <row r="56" spans="1:8" x14ac:dyDescent="0.25">
      <c r="A56" s="9" t="s">
        <v>283</v>
      </c>
    </row>
  </sheetData>
  <sortState xmlns:xlrd2="http://schemas.microsoft.com/office/spreadsheetml/2017/richdata2" ref="A6:I42">
    <sortCondition ref="H6:H42"/>
  </sortState>
  <mergeCells count="2">
    <mergeCell ref="A47:H47"/>
    <mergeCell ref="A51:H51"/>
  </mergeCells>
  <pageMargins left="0.70866141732283472" right="0.70866141732283472" top="0.78740157480314965" bottom="0.78740157480314965" header="0.31496062992125984" footer="0.31496062992125984"/>
  <pageSetup paperSize="9" scale="6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filterMode="1"/>
  <dimension ref="A1:M58"/>
  <sheetViews>
    <sheetView workbookViewId="0">
      <pane ySplit="5" topLeftCell="A6" activePane="bottomLeft" state="frozen"/>
      <selection pane="bottomLeft"/>
    </sheetView>
  </sheetViews>
  <sheetFormatPr baseColWidth="10" defaultColWidth="11.42578125" defaultRowHeight="15" x14ac:dyDescent="0.25"/>
  <cols>
    <col min="2" max="2" width="15.28515625" customWidth="1"/>
    <col min="3" max="3" width="20.42578125" bestFit="1" customWidth="1"/>
    <col min="4" max="4" width="18.28515625" bestFit="1" customWidth="1"/>
    <col min="5" max="5" width="18.85546875" bestFit="1" customWidth="1"/>
    <col min="6" max="6" width="12.5703125" bestFit="1" customWidth="1"/>
    <col min="7" max="7" width="12.140625" bestFit="1" customWidth="1"/>
    <col min="8" max="8" width="13" bestFit="1" customWidth="1"/>
    <col min="9" max="9" width="16.85546875" bestFit="1" customWidth="1"/>
  </cols>
  <sheetData>
    <row r="1" spans="1:13" ht="21" x14ac:dyDescent="0.35">
      <c r="A1" s="162" t="s">
        <v>148</v>
      </c>
      <c r="C1" s="618" t="s">
        <v>1302</v>
      </c>
      <c r="D1" s="615"/>
    </row>
    <row r="3" spans="1:13" ht="18" x14ac:dyDescent="0.25">
      <c r="A3" s="363" t="s">
        <v>274</v>
      </c>
    </row>
    <row r="5" spans="1:13" s="360" customFormat="1" ht="25.5" x14ac:dyDescent="0.25">
      <c r="A5" s="361" t="s">
        <v>149</v>
      </c>
      <c r="B5" s="361" t="s">
        <v>150</v>
      </c>
      <c r="C5" s="361" t="s">
        <v>151</v>
      </c>
      <c r="D5" s="362" t="s">
        <v>588</v>
      </c>
      <c r="E5" s="362" t="s">
        <v>589</v>
      </c>
      <c r="F5" s="361" t="s">
        <v>152</v>
      </c>
      <c r="G5" s="361" t="s">
        <v>153</v>
      </c>
      <c r="H5" s="361" t="s">
        <v>154</v>
      </c>
      <c r="I5" s="361" t="s">
        <v>155</v>
      </c>
    </row>
    <row r="6" spans="1:13" x14ac:dyDescent="0.25">
      <c r="A6" s="356">
        <v>16053</v>
      </c>
      <c r="B6" s="249" t="s">
        <v>156</v>
      </c>
      <c r="C6" s="205" t="s">
        <v>169</v>
      </c>
      <c r="D6" s="358">
        <f t="shared" ref="D6:D42" si="0">E6/1.19</f>
        <v>1.6722689075630253</v>
      </c>
      <c r="E6" s="359">
        <v>1.99</v>
      </c>
      <c r="F6" s="356">
        <v>23</v>
      </c>
      <c r="G6" s="356">
        <v>27</v>
      </c>
      <c r="H6" s="356">
        <v>4112</v>
      </c>
      <c r="I6" s="255" t="str">
        <f t="shared" ref="I6:I42" si="1">IF(F6&gt;G6,"Bestellung","Auf Lager")</f>
        <v>Auf Lager</v>
      </c>
      <c r="J6" s="55"/>
      <c r="M6" s="251"/>
    </row>
    <row r="7" spans="1:13" x14ac:dyDescent="0.25">
      <c r="A7" s="356">
        <v>11004</v>
      </c>
      <c r="B7" s="249" t="s">
        <v>156</v>
      </c>
      <c r="C7" s="249" t="s">
        <v>157</v>
      </c>
      <c r="D7" s="358">
        <f t="shared" si="0"/>
        <v>1.6722689075630253</v>
      </c>
      <c r="E7" s="359">
        <v>1.99</v>
      </c>
      <c r="F7" s="356">
        <v>12</v>
      </c>
      <c r="G7" s="356">
        <v>19</v>
      </c>
      <c r="H7" s="356">
        <v>5184</v>
      </c>
      <c r="I7" s="255" t="str">
        <f t="shared" si="1"/>
        <v>Auf Lager</v>
      </c>
      <c r="J7" s="55"/>
      <c r="M7" s="251"/>
    </row>
    <row r="8" spans="1:13" x14ac:dyDescent="0.25">
      <c r="A8" s="356">
        <v>16764</v>
      </c>
      <c r="B8" s="249" t="s">
        <v>156</v>
      </c>
      <c r="C8" s="205" t="s">
        <v>171</v>
      </c>
      <c r="D8" s="358">
        <f t="shared" si="0"/>
        <v>2.5126050420168071</v>
      </c>
      <c r="E8" s="359">
        <v>2.99</v>
      </c>
      <c r="F8" s="356">
        <v>18</v>
      </c>
      <c r="G8" s="356">
        <v>22</v>
      </c>
      <c r="H8" s="356">
        <v>4112</v>
      </c>
      <c r="I8" s="255" t="str">
        <f t="shared" si="1"/>
        <v>Auf Lager</v>
      </c>
      <c r="J8" s="55"/>
      <c r="M8" s="251"/>
    </row>
    <row r="9" spans="1:13" hidden="1" x14ac:dyDescent="0.25">
      <c r="A9" s="356">
        <v>57941</v>
      </c>
      <c r="B9" s="205" t="s">
        <v>172</v>
      </c>
      <c r="C9" s="205" t="s">
        <v>184</v>
      </c>
      <c r="D9" s="358">
        <f t="shared" si="0"/>
        <v>5</v>
      </c>
      <c r="E9" s="359">
        <v>5.95</v>
      </c>
      <c r="F9" s="356">
        <v>23</v>
      </c>
      <c r="G9" s="356">
        <v>39</v>
      </c>
      <c r="H9" s="356">
        <v>4859</v>
      </c>
      <c r="I9" s="255" t="str">
        <f t="shared" si="1"/>
        <v>Auf Lager</v>
      </c>
      <c r="J9" s="55"/>
      <c r="M9" s="251"/>
    </row>
    <row r="10" spans="1:13" hidden="1" x14ac:dyDescent="0.25">
      <c r="A10" s="356">
        <v>58208</v>
      </c>
      <c r="B10" s="205" t="s">
        <v>172</v>
      </c>
      <c r="C10" s="205" t="s">
        <v>185</v>
      </c>
      <c r="D10" s="358">
        <f t="shared" si="0"/>
        <v>2.5126050420168071</v>
      </c>
      <c r="E10" s="357">
        <v>2.99</v>
      </c>
      <c r="F10" s="356">
        <v>23</v>
      </c>
      <c r="G10" s="356">
        <v>27</v>
      </c>
      <c r="H10" s="356">
        <v>4859</v>
      </c>
      <c r="I10" s="255" t="str">
        <f t="shared" si="1"/>
        <v>Auf Lager</v>
      </c>
      <c r="J10" s="55"/>
      <c r="M10" s="251"/>
    </row>
    <row r="11" spans="1:13" hidden="1" x14ac:dyDescent="0.25">
      <c r="A11" s="356">
        <v>69460</v>
      </c>
      <c r="B11" s="355" t="s">
        <v>172</v>
      </c>
      <c r="C11" s="205" t="s">
        <v>186</v>
      </c>
      <c r="D11" s="358">
        <f t="shared" si="0"/>
        <v>11.756302521008404</v>
      </c>
      <c r="E11" s="357">
        <v>13.99</v>
      </c>
      <c r="F11" s="356">
        <v>12</v>
      </c>
      <c r="G11" s="356">
        <v>18</v>
      </c>
      <c r="H11" s="356">
        <v>4859</v>
      </c>
      <c r="I11" s="255" t="str">
        <f t="shared" si="1"/>
        <v>Auf Lager</v>
      </c>
      <c r="J11" s="55"/>
      <c r="M11" s="252"/>
    </row>
    <row r="12" spans="1:13" x14ac:dyDescent="0.25">
      <c r="A12" s="356">
        <v>15086</v>
      </c>
      <c r="B12" s="249" t="s">
        <v>156</v>
      </c>
      <c r="C12" s="205" t="s">
        <v>168</v>
      </c>
      <c r="D12" s="358">
        <f t="shared" si="0"/>
        <v>2.5126050420168071</v>
      </c>
      <c r="E12" s="359">
        <v>2.99</v>
      </c>
      <c r="F12" s="356">
        <v>10</v>
      </c>
      <c r="G12" s="356">
        <v>14</v>
      </c>
      <c r="H12" s="356">
        <v>5160</v>
      </c>
      <c r="I12" s="255" t="str">
        <f t="shared" si="1"/>
        <v>Auf Lager</v>
      </c>
      <c r="J12" s="55"/>
      <c r="M12" s="252"/>
    </row>
    <row r="13" spans="1:13" x14ac:dyDescent="0.25">
      <c r="A13" s="356">
        <v>11017</v>
      </c>
      <c r="B13" s="249" t="s">
        <v>156</v>
      </c>
      <c r="C13" s="205" t="s">
        <v>158</v>
      </c>
      <c r="D13" s="358">
        <f t="shared" si="0"/>
        <v>3.3193277310924372</v>
      </c>
      <c r="E13" s="359">
        <v>3.95</v>
      </c>
      <c r="F13" s="356">
        <v>23</v>
      </c>
      <c r="G13" s="356">
        <v>22</v>
      </c>
      <c r="H13" s="356">
        <v>5184</v>
      </c>
      <c r="I13" s="255" t="str">
        <f t="shared" si="1"/>
        <v>Bestellung</v>
      </c>
      <c r="J13" s="55"/>
      <c r="M13" s="252"/>
    </row>
    <row r="14" spans="1:13" x14ac:dyDescent="0.25">
      <c r="A14" s="356">
        <v>12112</v>
      </c>
      <c r="B14" s="249" t="s">
        <v>156</v>
      </c>
      <c r="C14" s="249" t="s">
        <v>161</v>
      </c>
      <c r="D14" s="358">
        <f t="shared" si="0"/>
        <v>4.1596638655462188</v>
      </c>
      <c r="E14" s="359">
        <v>4.95</v>
      </c>
      <c r="F14" s="356">
        <v>11</v>
      </c>
      <c r="G14" s="356">
        <v>9</v>
      </c>
      <c r="H14" s="356">
        <v>5257</v>
      </c>
      <c r="I14" s="255" t="str">
        <f t="shared" si="1"/>
        <v>Bestellung</v>
      </c>
      <c r="J14" s="55"/>
      <c r="M14" s="252"/>
    </row>
    <row r="15" spans="1:13" x14ac:dyDescent="0.25">
      <c r="A15" s="356">
        <v>16480</v>
      </c>
      <c r="B15" s="249" t="s">
        <v>156</v>
      </c>
      <c r="C15" s="205" t="s">
        <v>170</v>
      </c>
      <c r="D15" s="358">
        <f t="shared" si="0"/>
        <v>4.1932773109243699</v>
      </c>
      <c r="E15" s="359">
        <v>4.99</v>
      </c>
      <c r="F15" s="356">
        <v>18</v>
      </c>
      <c r="G15" s="356">
        <v>16</v>
      </c>
      <c r="H15" s="356">
        <v>4112</v>
      </c>
      <c r="I15" s="255" t="str">
        <f t="shared" si="1"/>
        <v>Bestellung</v>
      </c>
      <c r="J15" s="55"/>
      <c r="M15" s="252"/>
    </row>
    <row r="16" spans="1:13" x14ac:dyDescent="0.25">
      <c r="A16" s="356">
        <v>12424</v>
      </c>
      <c r="B16" s="249" t="s">
        <v>156</v>
      </c>
      <c r="C16" s="205" t="s">
        <v>164</v>
      </c>
      <c r="D16" s="358">
        <f t="shared" si="0"/>
        <v>5.8403361344537821</v>
      </c>
      <c r="E16" s="359">
        <v>6.95</v>
      </c>
      <c r="F16" s="356">
        <v>8</v>
      </c>
      <c r="G16" s="356">
        <v>11</v>
      </c>
      <c r="H16" s="356">
        <v>5920</v>
      </c>
      <c r="I16" s="255" t="str">
        <f t="shared" si="1"/>
        <v>Auf Lager</v>
      </c>
      <c r="J16" s="55"/>
      <c r="M16" s="252"/>
    </row>
    <row r="17" spans="1:13" x14ac:dyDescent="0.25">
      <c r="A17" s="356">
        <v>12418</v>
      </c>
      <c r="B17" s="249" t="s">
        <v>156</v>
      </c>
      <c r="C17" s="205" t="s">
        <v>162</v>
      </c>
      <c r="D17" s="358">
        <f t="shared" si="0"/>
        <v>5.8403361344537821</v>
      </c>
      <c r="E17" s="359">
        <v>6.95</v>
      </c>
      <c r="F17" s="356">
        <v>8</v>
      </c>
      <c r="G17" s="356">
        <v>14</v>
      </c>
      <c r="H17" s="356">
        <v>5367</v>
      </c>
      <c r="I17" s="255" t="str">
        <f t="shared" si="1"/>
        <v>Auf Lager</v>
      </c>
      <c r="J17" s="55"/>
      <c r="M17" s="252"/>
    </row>
    <row r="18" spans="1:13" x14ac:dyDescent="0.25">
      <c r="A18" s="356">
        <v>14987</v>
      </c>
      <c r="B18" s="249" t="s">
        <v>156</v>
      </c>
      <c r="C18" s="205" t="s">
        <v>166</v>
      </c>
      <c r="D18" s="358">
        <f t="shared" si="0"/>
        <v>6.6806722689075633</v>
      </c>
      <c r="E18" s="359">
        <v>7.95</v>
      </c>
      <c r="F18" s="356">
        <v>6</v>
      </c>
      <c r="G18" s="356">
        <v>5</v>
      </c>
      <c r="H18" s="356">
        <v>6180</v>
      </c>
      <c r="I18" s="255" t="str">
        <f t="shared" si="1"/>
        <v>Bestellung</v>
      </c>
      <c r="J18" s="55"/>
      <c r="M18" s="252"/>
    </row>
    <row r="19" spans="1:13" x14ac:dyDescent="0.25">
      <c r="A19" s="356">
        <v>14370</v>
      </c>
      <c r="B19" s="249" t="s">
        <v>156</v>
      </c>
      <c r="C19" s="249" t="s">
        <v>165</v>
      </c>
      <c r="D19" s="358">
        <f t="shared" si="0"/>
        <v>7.5210084033613445</v>
      </c>
      <c r="E19" s="359">
        <v>8.9499999999999993</v>
      </c>
      <c r="F19" s="356">
        <v>7</v>
      </c>
      <c r="G19" s="356">
        <v>9</v>
      </c>
      <c r="H19" s="356">
        <v>6180</v>
      </c>
      <c r="I19" s="255" t="str">
        <f t="shared" si="1"/>
        <v>Auf Lager</v>
      </c>
      <c r="J19" s="55"/>
      <c r="M19" s="252"/>
    </row>
    <row r="20" spans="1:13" x14ac:dyDescent="0.25">
      <c r="A20" s="356">
        <v>15076</v>
      </c>
      <c r="B20" s="249" t="s">
        <v>156</v>
      </c>
      <c r="C20" s="205" t="s">
        <v>167</v>
      </c>
      <c r="D20" s="358">
        <f t="shared" si="0"/>
        <v>8.3865546218487399</v>
      </c>
      <c r="E20" s="359">
        <v>9.98</v>
      </c>
      <c r="F20" s="356">
        <v>11</v>
      </c>
      <c r="G20" s="356">
        <v>14</v>
      </c>
      <c r="H20" s="356">
        <v>5758</v>
      </c>
      <c r="I20" s="255" t="str">
        <f t="shared" si="1"/>
        <v>Auf Lager</v>
      </c>
      <c r="J20" s="55"/>
      <c r="M20" s="252"/>
    </row>
    <row r="21" spans="1:13" x14ac:dyDescent="0.25">
      <c r="A21" s="356">
        <v>11902</v>
      </c>
      <c r="B21" s="249" t="s">
        <v>156</v>
      </c>
      <c r="C21" s="249" t="s">
        <v>160</v>
      </c>
      <c r="D21" s="358">
        <f t="shared" si="0"/>
        <v>10.882352941176471</v>
      </c>
      <c r="E21" s="359">
        <v>12.95</v>
      </c>
      <c r="F21" s="356">
        <v>12</v>
      </c>
      <c r="G21" s="356">
        <v>14</v>
      </c>
      <c r="H21" s="356">
        <v>5256</v>
      </c>
      <c r="I21" s="255" t="str">
        <f t="shared" si="1"/>
        <v>Auf Lager</v>
      </c>
      <c r="J21" s="55"/>
      <c r="M21" s="252"/>
    </row>
    <row r="22" spans="1:13" hidden="1" x14ac:dyDescent="0.25">
      <c r="A22" s="356">
        <v>33159</v>
      </c>
      <c r="B22" s="205" t="s">
        <v>172</v>
      </c>
      <c r="C22" s="205" t="s">
        <v>181</v>
      </c>
      <c r="D22" s="358">
        <f t="shared" si="0"/>
        <v>5.033613445378152</v>
      </c>
      <c r="E22" s="359">
        <v>5.99</v>
      </c>
      <c r="F22" s="356">
        <v>18</v>
      </c>
      <c r="G22" s="356">
        <v>28</v>
      </c>
      <c r="H22" s="356">
        <v>6011</v>
      </c>
      <c r="I22" s="255" t="str">
        <f t="shared" si="1"/>
        <v>Auf Lager</v>
      </c>
      <c r="J22" s="55"/>
      <c r="M22" s="252"/>
    </row>
    <row r="23" spans="1:13" x14ac:dyDescent="0.25">
      <c r="A23" s="356">
        <v>12421</v>
      </c>
      <c r="B23" s="249" t="s">
        <v>156</v>
      </c>
      <c r="C23" s="249" t="s">
        <v>163</v>
      </c>
      <c r="D23" s="358">
        <f t="shared" si="0"/>
        <v>16.764705882352942</v>
      </c>
      <c r="E23" s="359">
        <v>19.95</v>
      </c>
      <c r="F23" s="356">
        <v>8</v>
      </c>
      <c r="G23" s="356">
        <v>13</v>
      </c>
      <c r="H23" s="356">
        <v>5695</v>
      </c>
      <c r="I23" s="255" t="str">
        <f t="shared" si="1"/>
        <v>Auf Lager</v>
      </c>
      <c r="J23" s="55"/>
      <c r="M23" s="252"/>
    </row>
    <row r="24" spans="1:13" x14ac:dyDescent="0.25">
      <c r="A24" s="356">
        <v>11489</v>
      </c>
      <c r="B24" s="249" t="s">
        <v>156</v>
      </c>
      <c r="C24" s="249" t="s">
        <v>159</v>
      </c>
      <c r="D24" s="358">
        <f t="shared" si="0"/>
        <v>16.764705882352942</v>
      </c>
      <c r="E24" s="359">
        <v>19.95</v>
      </c>
      <c r="F24" s="356">
        <v>23</v>
      </c>
      <c r="G24" s="356">
        <v>28</v>
      </c>
      <c r="H24" s="356">
        <v>5184</v>
      </c>
      <c r="I24" s="255" t="str">
        <f t="shared" si="1"/>
        <v>Auf Lager</v>
      </c>
      <c r="J24" s="55"/>
      <c r="M24" s="252"/>
    </row>
    <row r="25" spans="1:13" hidden="1" x14ac:dyDescent="0.25">
      <c r="A25" s="356">
        <v>47847</v>
      </c>
      <c r="B25" s="205" t="s">
        <v>172</v>
      </c>
      <c r="C25" s="205" t="s">
        <v>182</v>
      </c>
      <c r="D25" s="358">
        <f t="shared" si="0"/>
        <v>8.3613445378151265</v>
      </c>
      <c r="E25" s="359">
        <v>9.9499999999999993</v>
      </c>
      <c r="F25" s="356">
        <v>13</v>
      </c>
      <c r="G25" s="356">
        <v>18</v>
      </c>
      <c r="H25" s="356">
        <v>6748</v>
      </c>
      <c r="I25" s="255" t="str">
        <f t="shared" si="1"/>
        <v>Auf Lager</v>
      </c>
      <c r="J25" s="55"/>
      <c r="M25" s="252"/>
    </row>
    <row r="26" spans="1:13" hidden="1" x14ac:dyDescent="0.25">
      <c r="A26" s="356">
        <v>21400</v>
      </c>
      <c r="B26" s="205" t="s">
        <v>172</v>
      </c>
      <c r="C26" s="205" t="s">
        <v>173</v>
      </c>
      <c r="D26" s="358">
        <f t="shared" si="0"/>
        <v>5</v>
      </c>
      <c r="E26" s="359">
        <v>5.95</v>
      </c>
      <c r="F26" s="356">
        <v>8</v>
      </c>
      <c r="G26" s="356">
        <v>11</v>
      </c>
      <c r="H26" s="356">
        <v>6805</v>
      </c>
      <c r="I26" s="255" t="str">
        <f t="shared" si="1"/>
        <v>Auf Lager</v>
      </c>
      <c r="J26" s="55"/>
      <c r="M26" s="252"/>
    </row>
    <row r="27" spans="1:13" hidden="1" x14ac:dyDescent="0.25">
      <c r="A27" s="356">
        <v>23470</v>
      </c>
      <c r="B27" s="205" t="s">
        <v>172</v>
      </c>
      <c r="C27" s="205" t="s">
        <v>174</v>
      </c>
      <c r="D27" s="358">
        <f t="shared" si="0"/>
        <v>4.1848739495798322</v>
      </c>
      <c r="E27" s="359">
        <v>4.9800000000000004</v>
      </c>
      <c r="F27" s="356">
        <v>8</v>
      </c>
      <c r="G27" s="356">
        <v>11</v>
      </c>
      <c r="H27" s="356">
        <v>6968</v>
      </c>
      <c r="I27" s="255" t="str">
        <f t="shared" si="1"/>
        <v>Auf Lager</v>
      </c>
      <c r="J27" s="55"/>
      <c r="M27" s="252"/>
    </row>
    <row r="28" spans="1:13" x14ac:dyDescent="0.25">
      <c r="A28" s="356">
        <v>71695</v>
      </c>
      <c r="B28" s="205" t="s">
        <v>132</v>
      </c>
      <c r="C28" s="205" t="s">
        <v>188</v>
      </c>
      <c r="D28" s="358">
        <f t="shared" si="0"/>
        <v>41.97478991596639</v>
      </c>
      <c r="E28" s="357">
        <v>49.95</v>
      </c>
      <c r="F28" s="356">
        <v>6</v>
      </c>
      <c r="G28" s="356">
        <v>8</v>
      </c>
      <c r="H28" s="356">
        <v>9479</v>
      </c>
      <c r="I28" s="255" t="str">
        <f t="shared" si="1"/>
        <v>Auf Lager</v>
      </c>
      <c r="J28" s="55"/>
      <c r="M28" s="252"/>
    </row>
    <row r="29" spans="1:13" hidden="1" x14ac:dyDescent="0.25">
      <c r="A29" s="356">
        <v>23444</v>
      </c>
      <c r="B29" s="205" t="s">
        <v>172</v>
      </c>
      <c r="C29" s="205" t="s">
        <v>176</v>
      </c>
      <c r="D29" s="358">
        <f t="shared" si="0"/>
        <v>20.966386554621849</v>
      </c>
      <c r="E29" s="359">
        <v>24.95</v>
      </c>
      <c r="F29" s="356">
        <v>6</v>
      </c>
      <c r="G29" s="356">
        <v>8</v>
      </c>
      <c r="H29" s="356">
        <v>7889</v>
      </c>
      <c r="I29" s="255" t="str">
        <f t="shared" si="1"/>
        <v>Auf Lager</v>
      </c>
      <c r="J29" s="55"/>
      <c r="M29" s="252"/>
    </row>
    <row r="30" spans="1:13" hidden="1" x14ac:dyDescent="0.25">
      <c r="A30" s="356">
        <v>23504</v>
      </c>
      <c r="B30" s="205" t="s">
        <v>172</v>
      </c>
      <c r="C30" s="203" t="s">
        <v>175</v>
      </c>
      <c r="D30" s="358">
        <f t="shared" si="0"/>
        <v>5.0252100840336142</v>
      </c>
      <c r="E30" s="359">
        <v>5.98</v>
      </c>
      <c r="F30" s="356">
        <v>8</v>
      </c>
      <c r="G30" s="356">
        <v>10</v>
      </c>
      <c r="H30" s="356">
        <v>7889</v>
      </c>
      <c r="I30" s="255" t="str">
        <f t="shared" si="1"/>
        <v>Auf Lager</v>
      </c>
      <c r="J30" s="55"/>
      <c r="M30" s="252"/>
    </row>
    <row r="31" spans="1:13" hidden="1" x14ac:dyDescent="0.25">
      <c r="A31" s="356">
        <v>23685</v>
      </c>
      <c r="B31" s="205" t="s">
        <v>172</v>
      </c>
      <c r="C31" s="205" t="s">
        <v>177</v>
      </c>
      <c r="D31" s="358">
        <f t="shared" si="0"/>
        <v>8.3613445378151265</v>
      </c>
      <c r="E31" s="359">
        <v>9.9499999999999993</v>
      </c>
      <c r="F31" s="356">
        <v>8</v>
      </c>
      <c r="G31" s="356">
        <v>14</v>
      </c>
      <c r="H31" s="356">
        <v>7889</v>
      </c>
      <c r="I31" s="255" t="str">
        <f t="shared" si="1"/>
        <v>Auf Lager</v>
      </c>
      <c r="J31" s="55"/>
      <c r="M31" s="252"/>
    </row>
    <row r="32" spans="1:13" hidden="1" x14ac:dyDescent="0.25">
      <c r="A32" s="356">
        <v>24986</v>
      </c>
      <c r="B32" s="205" t="s">
        <v>172</v>
      </c>
      <c r="C32" s="205" t="s">
        <v>178</v>
      </c>
      <c r="D32" s="358">
        <f t="shared" si="0"/>
        <v>12.563025210084033</v>
      </c>
      <c r="E32" s="359">
        <v>14.95</v>
      </c>
      <c r="F32" s="356">
        <v>8</v>
      </c>
      <c r="G32" s="356">
        <v>15</v>
      </c>
      <c r="H32" s="356">
        <v>7889</v>
      </c>
      <c r="I32" s="255" t="str">
        <f t="shared" si="1"/>
        <v>Auf Lager</v>
      </c>
      <c r="J32" s="55"/>
      <c r="M32" s="252"/>
    </row>
    <row r="33" spans="1:13" hidden="1" x14ac:dyDescent="0.25">
      <c r="A33" s="356">
        <v>27592</v>
      </c>
      <c r="B33" s="205" t="s">
        <v>172</v>
      </c>
      <c r="C33" s="205" t="s">
        <v>179</v>
      </c>
      <c r="D33" s="358">
        <f t="shared" si="0"/>
        <v>16.764705882352942</v>
      </c>
      <c r="E33" s="359">
        <v>19.95</v>
      </c>
      <c r="F33" s="356">
        <v>8</v>
      </c>
      <c r="G33" s="356">
        <v>10</v>
      </c>
      <c r="H33" s="356">
        <v>7889</v>
      </c>
      <c r="I33" s="255" t="str">
        <f t="shared" si="1"/>
        <v>Auf Lager</v>
      </c>
      <c r="J33" s="55"/>
      <c r="M33" s="201"/>
    </row>
    <row r="34" spans="1:13" hidden="1" x14ac:dyDescent="0.25">
      <c r="A34" s="356">
        <v>33012</v>
      </c>
      <c r="B34" s="205" t="s">
        <v>172</v>
      </c>
      <c r="C34" s="205" t="s">
        <v>180</v>
      </c>
      <c r="D34" s="358">
        <f t="shared" si="0"/>
        <v>8.3613445378151265</v>
      </c>
      <c r="E34" s="359">
        <v>9.9499999999999993</v>
      </c>
      <c r="F34" s="356">
        <v>13</v>
      </c>
      <c r="G34" s="356">
        <v>12</v>
      </c>
      <c r="H34" s="356">
        <v>7889</v>
      </c>
      <c r="I34" s="255" t="str">
        <f t="shared" si="1"/>
        <v>Bestellung</v>
      </c>
      <c r="J34" s="55"/>
      <c r="M34" s="201"/>
    </row>
    <row r="35" spans="1:13" hidden="1" x14ac:dyDescent="0.25">
      <c r="A35" s="356">
        <v>48740</v>
      </c>
      <c r="B35" s="205" t="s">
        <v>172</v>
      </c>
      <c r="C35" s="205" t="s">
        <v>183</v>
      </c>
      <c r="D35" s="358">
        <f t="shared" si="0"/>
        <v>25.168067226890756</v>
      </c>
      <c r="E35" s="359">
        <v>29.95</v>
      </c>
      <c r="F35" s="356">
        <v>11</v>
      </c>
      <c r="G35" s="356">
        <v>13</v>
      </c>
      <c r="H35" s="356">
        <v>7889</v>
      </c>
      <c r="I35" s="255" t="str">
        <f t="shared" si="1"/>
        <v>Auf Lager</v>
      </c>
      <c r="J35" s="55"/>
      <c r="M35" s="201"/>
    </row>
    <row r="36" spans="1:13" x14ac:dyDescent="0.25">
      <c r="A36" s="356">
        <v>87604</v>
      </c>
      <c r="B36" s="205" t="s">
        <v>132</v>
      </c>
      <c r="C36" s="205" t="s">
        <v>192</v>
      </c>
      <c r="D36" s="358">
        <f t="shared" si="0"/>
        <v>75.588235294117652</v>
      </c>
      <c r="E36" s="357">
        <v>89.95</v>
      </c>
      <c r="F36" s="356">
        <v>6</v>
      </c>
      <c r="G36" s="356">
        <v>9</v>
      </c>
      <c r="H36" s="356">
        <v>9261</v>
      </c>
      <c r="I36" s="255" t="str">
        <f t="shared" si="1"/>
        <v>Auf Lager</v>
      </c>
      <c r="J36" s="55"/>
      <c r="M36" s="201"/>
    </row>
    <row r="37" spans="1:13" x14ac:dyDescent="0.25">
      <c r="A37" s="356">
        <v>71356</v>
      </c>
      <c r="B37" s="205" t="s">
        <v>132</v>
      </c>
      <c r="C37" s="205" t="s">
        <v>189</v>
      </c>
      <c r="D37" s="358">
        <f t="shared" si="0"/>
        <v>83.991596638655466</v>
      </c>
      <c r="E37" s="357">
        <v>99.95</v>
      </c>
      <c r="F37" s="356">
        <v>5</v>
      </c>
      <c r="G37" s="356">
        <v>7</v>
      </c>
      <c r="H37" s="356">
        <v>8369</v>
      </c>
      <c r="I37" s="255" t="str">
        <f t="shared" si="1"/>
        <v>Auf Lager</v>
      </c>
      <c r="J37" s="55"/>
      <c r="M37" s="201"/>
    </row>
    <row r="38" spans="1:13" x14ac:dyDescent="0.25">
      <c r="A38" s="356">
        <v>69919</v>
      </c>
      <c r="B38" s="205" t="s">
        <v>132</v>
      </c>
      <c r="C38" s="205" t="s">
        <v>187</v>
      </c>
      <c r="D38" s="358">
        <f t="shared" si="0"/>
        <v>117.60504201680672</v>
      </c>
      <c r="E38" s="357">
        <v>139.94999999999999</v>
      </c>
      <c r="F38" s="356">
        <v>6</v>
      </c>
      <c r="G38" s="356">
        <v>4</v>
      </c>
      <c r="H38" s="356">
        <v>7412</v>
      </c>
      <c r="I38" s="255" t="str">
        <f t="shared" si="1"/>
        <v>Bestellung</v>
      </c>
      <c r="J38" s="55"/>
      <c r="M38" s="201"/>
    </row>
    <row r="39" spans="1:13" x14ac:dyDescent="0.25">
      <c r="A39" s="356">
        <v>86548</v>
      </c>
      <c r="B39" s="205" t="s">
        <v>132</v>
      </c>
      <c r="C39" s="205" t="s">
        <v>191</v>
      </c>
      <c r="D39" s="358">
        <f t="shared" si="0"/>
        <v>210.0420168067227</v>
      </c>
      <c r="E39" s="357">
        <v>249.95</v>
      </c>
      <c r="F39" s="356">
        <v>6</v>
      </c>
      <c r="G39" s="356">
        <v>9</v>
      </c>
      <c r="H39" s="356">
        <v>9261</v>
      </c>
      <c r="I39" s="255" t="str">
        <f t="shared" si="1"/>
        <v>Auf Lager</v>
      </c>
      <c r="J39" s="55"/>
      <c r="M39" s="201"/>
    </row>
    <row r="40" spans="1:13" x14ac:dyDescent="0.25">
      <c r="A40" s="356">
        <v>74595</v>
      </c>
      <c r="B40" s="205" t="s">
        <v>132</v>
      </c>
      <c r="C40" s="205" t="s">
        <v>190</v>
      </c>
      <c r="D40" s="358">
        <f t="shared" si="0"/>
        <v>248.69747899159665</v>
      </c>
      <c r="E40" s="357">
        <v>295.95</v>
      </c>
      <c r="F40" s="356">
        <v>5</v>
      </c>
      <c r="G40" s="356">
        <v>7</v>
      </c>
      <c r="H40" s="356">
        <v>8369</v>
      </c>
      <c r="I40" s="255" t="str">
        <f t="shared" si="1"/>
        <v>Auf Lager</v>
      </c>
      <c r="J40" s="55"/>
      <c r="M40" s="201"/>
    </row>
    <row r="41" spans="1:13" x14ac:dyDescent="0.25">
      <c r="A41" s="356">
        <v>94544</v>
      </c>
      <c r="B41" s="205" t="s">
        <v>132</v>
      </c>
      <c r="C41" s="205" t="s">
        <v>193</v>
      </c>
      <c r="D41" s="358">
        <f t="shared" si="0"/>
        <v>332.73109243697479</v>
      </c>
      <c r="E41" s="357">
        <v>395.95</v>
      </c>
      <c r="F41" s="356">
        <v>5</v>
      </c>
      <c r="G41" s="356">
        <v>7</v>
      </c>
      <c r="H41" s="356">
        <v>9900</v>
      </c>
      <c r="I41" s="255" t="str">
        <f t="shared" si="1"/>
        <v>Auf Lager</v>
      </c>
      <c r="J41" s="55"/>
      <c r="M41" s="201"/>
    </row>
    <row r="42" spans="1:13" x14ac:dyDescent="0.25">
      <c r="A42" s="356">
        <v>98434</v>
      </c>
      <c r="B42" s="205" t="s">
        <v>132</v>
      </c>
      <c r="C42" s="205" t="s">
        <v>194</v>
      </c>
      <c r="D42" s="358">
        <f t="shared" si="0"/>
        <v>416.76470588235293</v>
      </c>
      <c r="E42" s="357">
        <v>495.95</v>
      </c>
      <c r="F42" s="356">
        <v>5</v>
      </c>
      <c r="G42" s="356">
        <v>7</v>
      </c>
      <c r="H42" s="356">
        <v>9900</v>
      </c>
      <c r="I42" s="255" t="str">
        <f t="shared" si="1"/>
        <v>Auf Lager</v>
      </c>
      <c r="J42" s="55"/>
      <c r="M42" s="201"/>
    </row>
    <row r="46" spans="1:13" x14ac:dyDescent="0.25">
      <c r="A46" s="9" t="s">
        <v>275</v>
      </c>
      <c r="B46" s="9"/>
      <c r="C46" s="9"/>
      <c r="D46" s="9"/>
      <c r="E46" s="9"/>
      <c r="F46" s="9"/>
      <c r="G46" s="9"/>
      <c r="H46" s="9"/>
      <c r="I46" s="9"/>
    </row>
    <row r="47" spans="1:13" ht="30" customHeight="1" x14ac:dyDescent="0.25">
      <c r="A47" s="646" t="s">
        <v>735</v>
      </c>
      <c r="B47" s="646"/>
      <c r="C47" s="646"/>
      <c r="D47" s="646"/>
      <c r="E47" s="646"/>
      <c r="F47" s="646"/>
      <c r="G47" s="646"/>
      <c r="H47" s="646"/>
      <c r="I47" s="646"/>
    </row>
    <row r="48" spans="1:13" x14ac:dyDescent="0.25">
      <c r="A48" s="364" t="s">
        <v>590</v>
      </c>
      <c r="B48" s="364"/>
      <c r="C48" s="364"/>
      <c r="D48" s="364"/>
      <c r="E48" s="364"/>
      <c r="F48" s="364"/>
      <c r="G48" s="364"/>
      <c r="H48" s="9"/>
      <c r="I48" s="9"/>
    </row>
    <row r="49" spans="1:9" x14ac:dyDescent="0.25">
      <c r="A49" s="9" t="s">
        <v>276</v>
      </c>
      <c r="B49" s="9"/>
      <c r="C49" s="9"/>
      <c r="D49" s="9"/>
      <c r="E49" s="9"/>
      <c r="F49" s="9"/>
      <c r="G49" s="9"/>
      <c r="H49" s="9"/>
      <c r="I49" s="9"/>
    </row>
    <row r="50" spans="1:9" x14ac:dyDescent="0.25">
      <c r="A50" s="9" t="s">
        <v>277</v>
      </c>
      <c r="B50" s="9"/>
      <c r="C50" s="9"/>
      <c r="D50" s="9"/>
      <c r="E50" s="9"/>
      <c r="F50" s="9"/>
      <c r="G50" s="9"/>
      <c r="H50" s="9"/>
      <c r="I50" s="9"/>
    </row>
    <row r="51" spans="1:9" x14ac:dyDescent="0.25">
      <c r="A51" s="9" t="s">
        <v>591</v>
      </c>
      <c r="B51" s="9"/>
      <c r="C51" s="9"/>
      <c r="D51" s="9"/>
      <c r="E51" s="9"/>
      <c r="F51" s="9"/>
      <c r="G51" s="9"/>
      <c r="H51" s="9"/>
      <c r="I51" s="9"/>
    </row>
    <row r="52" spans="1:9" x14ac:dyDescent="0.25">
      <c r="A52" s="364" t="s">
        <v>736</v>
      </c>
      <c r="B52" s="364"/>
      <c r="C52" s="364"/>
      <c r="D52" s="364"/>
      <c r="E52" s="364"/>
      <c r="F52" s="364"/>
      <c r="G52" s="364"/>
      <c r="H52" s="9"/>
      <c r="I52" s="9"/>
    </row>
    <row r="53" spans="1:9" x14ac:dyDescent="0.25">
      <c r="A53" s="9" t="s">
        <v>279</v>
      </c>
      <c r="B53" s="9"/>
      <c r="C53" s="9"/>
      <c r="D53" s="9"/>
      <c r="E53" s="9"/>
      <c r="F53" s="9"/>
      <c r="G53" s="9"/>
      <c r="H53" s="9"/>
      <c r="I53" s="9"/>
    </row>
    <row r="54" spans="1:9" x14ac:dyDescent="0.25">
      <c r="A54" s="9" t="s">
        <v>280</v>
      </c>
      <c r="B54" s="9"/>
      <c r="C54" s="9"/>
      <c r="D54" s="9"/>
      <c r="E54" s="9"/>
      <c r="F54" s="9"/>
      <c r="G54" s="9"/>
      <c r="H54" s="9"/>
      <c r="I54" s="9"/>
    </row>
    <row r="55" spans="1:9" x14ac:dyDescent="0.25">
      <c r="A55" s="9" t="s">
        <v>592</v>
      </c>
      <c r="B55" s="9"/>
      <c r="C55" s="9"/>
      <c r="D55" s="9"/>
      <c r="E55" s="9"/>
      <c r="F55" s="9"/>
      <c r="G55" s="9"/>
      <c r="H55" s="9"/>
      <c r="I55" s="9"/>
    </row>
    <row r="56" spans="1:9" x14ac:dyDescent="0.25">
      <c r="A56" s="52" t="s">
        <v>281</v>
      </c>
      <c r="B56" s="9"/>
      <c r="C56" s="9"/>
      <c r="D56" s="9"/>
      <c r="E56" s="9"/>
      <c r="F56" s="9"/>
      <c r="G56" s="9"/>
      <c r="H56" s="9"/>
      <c r="I56" s="9"/>
    </row>
    <row r="57" spans="1:9" x14ac:dyDescent="0.25">
      <c r="A57" s="52" t="s">
        <v>282</v>
      </c>
      <c r="B57" s="9"/>
      <c r="C57" s="9"/>
      <c r="D57" s="9"/>
      <c r="E57" s="9"/>
      <c r="F57" s="9"/>
      <c r="G57" s="9"/>
      <c r="H57" s="9"/>
      <c r="I57" s="9"/>
    </row>
    <row r="58" spans="1:9" x14ac:dyDescent="0.25">
      <c r="A58" s="52" t="s">
        <v>283</v>
      </c>
      <c r="B58" s="9"/>
      <c r="C58" s="9"/>
      <c r="D58" s="9"/>
      <c r="E58" s="9"/>
      <c r="F58" s="9"/>
      <c r="G58" s="9"/>
      <c r="H58" s="9"/>
      <c r="I58" s="9"/>
    </row>
  </sheetData>
  <autoFilter ref="A5:I42" xr:uid="{00000000-0009-0000-0000-000018000000}">
    <filterColumn colId="1">
      <filters>
        <filter val="Büromaterial"/>
        <filter val="Büromöbel"/>
      </filters>
    </filterColumn>
    <sortState xmlns:xlrd2="http://schemas.microsoft.com/office/spreadsheetml/2017/richdata2" ref="A6:I42">
      <sortCondition ref="B6:B42"/>
      <sortCondition ref="E6:E42"/>
      <sortCondition ref="C6:C42"/>
    </sortState>
  </autoFilter>
  <mergeCells count="1">
    <mergeCell ref="A47:I47"/>
  </mergeCells>
  <pageMargins left="0.7" right="0.7" top="0.78740157499999996" bottom="0.78740157499999996"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35"/>
  <sheetViews>
    <sheetView zoomScaleNormal="100" workbookViewId="0"/>
  </sheetViews>
  <sheetFormatPr baseColWidth="10" defaultColWidth="11.42578125" defaultRowHeight="15" x14ac:dyDescent="0.25"/>
  <cols>
    <col min="2" max="2" width="17.7109375" bestFit="1" customWidth="1"/>
    <col min="3" max="9" width="17.7109375" customWidth="1"/>
  </cols>
  <sheetData>
    <row r="1" spans="1:8" ht="21" x14ac:dyDescent="0.35">
      <c r="A1" s="162" t="s">
        <v>195</v>
      </c>
      <c r="C1" s="618" t="s">
        <v>1301</v>
      </c>
      <c r="D1" s="615"/>
    </row>
    <row r="3" spans="1:8" x14ac:dyDescent="0.25">
      <c r="A3" s="300" t="s">
        <v>737</v>
      </c>
    </row>
    <row r="5" spans="1:8" x14ac:dyDescent="0.25">
      <c r="A5" s="203"/>
      <c r="B5" s="218"/>
      <c r="C5" s="218"/>
      <c r="D5" s="218"/>
      <c r="E5" s="218"/>
      <c r="F5" s="218"/>
      <c r="G5" s="218"/>
    </row>
    <row r="6" spans="1:8" ht="25.5" x14ac:dyDescent="0.25">
      <c r="A6" s="227" t="s">
        <v>197</v>
      </c>
      <c r="B6" s="243" t="s">
        <v>198</v>
      </c>
      <c r="C6" s="244"/>
      <c r="D6" s="243" t="s">
        <v>199</v>
      </c>
      <c r="E6" s="243" t="s">
        <v>200</v>
      </c>
      <c r="F6" s="244"/>
      <c r="G6" s="245"/>
    </row>
    <row r="7" spans="1:8" x14ac:dyDescent="0.25">
      <c r="A7" s="228">
        <v>0</v>
      </c>
      <c r="B7" s="246">
        <v>9.5</v>
      </c>
      <c r="C7" s="245"/>
      <c r="D7" s="247">
        <v>0</v>
      </c>
      <c r="E7" s="246">
        <v>275</v>
      </c>
      <c r="F7" s="245"/>
      <c r="G7" s="245"/>
    </row>
    <row r="8" spans="1:8" x14ac:dyDescent="0.25">
      <c r="A8" s="228">
        <v>150</v>
      </c>
      <c r="B8" s="246">
        <v>11.1</v>
      </c>
      <c r="C8" s="245"/>
      <c r="D8" s="247">
        <v>3</v>
      </c>
      <c r="E8" s="246">
        <v>0</v>
      </c>
      <c r="F8" s="245"/>
      <c r="G8" s="245"/>
    </row>
    <row r="9" spans="1:8" x14ac:dyDescent="0.25">
      <c r="A9" s="248"/>
      <c r="B9" s="245"/>
      <c r="C9" s="245"/>
      <c r="D9" s="245"/>
      <c r="E9" s="245"/>
      <c r="F9" s="245"/>
      <c r="G9" s="245"/>
    </row>
    <row r="10" spans="1:8" s="286" customFormat="1" ht="25.5" x14ac:dyDescent="0.2">
      <c r="A10" s="227" t="s">
        <v>201</v>
      </c>
      <c r="B10" s="243" t="s">
        <v>53</v>
      </c>
      <c r="C10" s="243" t="s">
        <v>202</v>
      </c>
      <c r="D10" s="243" t="s">
        <v>203</v>
      </c>
      <c r="E10" s="243" t="s">
        <v>198</v>
      </c>
      <c r="F10" s="243" t="s">
        <v>204</v>
      </c>
      <c r="G10" s="243" t="s">
        <v>205</v>
      </c>
      <c r="H10" s="227" t="s">
        <v>206</v>
      </c>
    </row>
    <row r="11" spans="1:8" x14ac:dyDescent="0.25">
      <c r="A11" s="39">
        <v>20342</v>
      </c>
      <c r="B11" s="33" t="s">
        <v>207</v>
      </c>
      <c r="C11" s="365">
        <v>161</v>
      </c>
      <c r="D11" s="39">
        <v>4</v>
      </c>
      <c r="E11" s="200"/>
      <c r="F11" s="200"/>
      <c r="G11" s="200"/>
      <c r="H11" s="200"/>
    </row>
    <row r="12" spans="1:8" x14ac:dyDescent="0.25">
      <c r="A12" s="39">
        <v>21081</v>
      </c>
      <c r="B12" s="33" t="s">
        <v>208</v>
      </c>
      <c r="C12" s="365">
        <v>145</v>
      </c>
      <c r="D12" s="39">
        <v>2</v>
      </c>
      <c r="E12" s="200"/>
      <c r="F12" s="200"/>
      <c r="G12" s="200"/>
      <c r="H12" s="200"/>
    </row>
    <row r="13" spans="1:8" x14ac:dyDescent="0.25">
      <c r="A13" s="39">
        <v>21192</v>
      </c>
      <c r="B13" s="33" t="s">
        <v>209</v>
      </c>
      <c r="C13" s="365">
        <v>155</v>
      </c>
      <c r="D13" s="39">
        <v>1</v>
      </c>
      <c r="E13" s="200"/>
      <c r="F13" s="200"/>
      <c r="G13" s="200"/>
      <c r="H13" s="200"/>
    </row>
    <row r="14" spans="1:8" x14ac:dyDescent="0.25">
      <c r="A14" s="39">
        <v>22197</v>
      </c>
      <c r="B14" s="33" t="s">
        <v>221</v>
      </c>
      <c r="C14" s="365">
        <v>170</v>
      </c>
      <c r="D14" s="39">
        <v>6</v>
      </c>
      <c r="E14" s="200"/>
      <c r="F14" s="200"/>
      <c r="G14" s="200"/>
      <c r="H14" s="200"/>
    </row>
    <row r="15" spans="1:8" x14ac:dyDescent="0.25">
      <c r="A15" s="39">
        <v>23916</v>
      </c>
      <c r="B15" s="33" t="s">
        <v>222</v>
      </c>
      <c r="C15" s="365">
        <v>144</v>
      </c>
      <c r="D15" s="39">
        <v>3</v>
      </c>
      <c r="E15" s="200"/>
      <c r="F15" s="200"/>
      <c r="G15" s="200"/>
      <c r="H15" s="200"/>
    </row>
    <row r="16" spans="1:8" x14ac:dyDescent="0.25">
      <c r="A16" s="39">
        <v>24089</v>
      </c>
      <c r="B16" s="33" t="s">
        <v>223</v>
      </c>
      <c r="C16" s="365">
        <v>140</v>
      </c>
      <c r="D16" s="39">
        <v>1</v>
      </c>
      <c r="E16" s="200"/>
      <c r="F16" s="200"/>
      <c r="G16" s="200"/>
      <c r="H16" s="200"/>
    </row>
    <row r="17" spans="1:8" x14ac:dyDescent="0.25">
      <c r="A17" s="39">
        <v>27670</v>
      </c>
      <c r="B17" s="33" t="s">
        <v>214</v>
      </c>
      <c r="C17" s="365">
        <v>204</v>
      </c>
      <c r="D17" s="39">
        <v>0</v>
      </c>
      <c r="E17" s="200"/>
      <c r="F17" s="200"/>
      <c r="G17" s="200"/>
      <c r="H17" s="200"/>
    </row>
    <row r="18" spans="1:8" x14ac:dyDescent="0.25">
      <c r="A18" s="39">
        <v>28325</v>
      </c>
      <c r="B18" s="33" t="s">
        <v>224</v>
      </c>
      <c r="C18" s="365">
        <v>215</v>
      </c>
      <c r="D18" s="39">
        <v>8</v>
      </c>
      <c r="E18" s="200"/>
      <c r="F18" s="200"/>
      <c r="G18" s="200"/>
      <c r="H18" s="200"/>
    </row>
    <row r="19" spans="1:8" x14ac:dyDescent="0.25">
      <c r="A19" s="39">
        <v>28539</v>
      </c>
      <c r="B19" s="33" t="s">
        <v>212</v>
      </c>
      <c r="C19" s="365">
        <v>157</v>
      </c>
      <c r="D19" s="39">
        <v>2</v>
      </c>
      <c r="E19" s="200"/>
      <c r="F19" s="200"/>
      <c r="G19" s="200"/>
      <c r="H19" s="200"/>
    </row>
    <row r="20" spans="1:8" x14ac:dyDescent="0.25">
      <c r="A20" s="39">
        <v>29203</v>
      </c>
      <c r="B20" s="33" t="s">
        <v>213</v>
      </c>
      <c r="C20" s="365">
        <v>151</v>
      </c>
      <c r="D20" s="39">
        <v>4</v>
      </c>
      <c r="E20" s="200"/>
      <c r="F20" s="200"/>
      <c r="G20" s="200"/>
      <c r="H20" s="200"/>
    </row>
    <row r="21" spans="1:8" x14ac:dyDescent="0.25">
      <c r="A21" s="39">
        <v>29551</v>
      </c>
      <c r="B21" s="33" t="s">
        <v>216</v>
      </c>
      <c r="C21" s="365">
        <v>162</v>
      </c>
      <c r="D21" s="39">
        <v>0</v>
      </c>
      <c r="E21" s="200"/>
      <c r="F21" s="200"/>
      <c r="G21" s="200"/>
      <c r="H21" s="200"/>
    </row>
    <row r="25" spans="1:8" x14ac:dyDescent="0.25">
      <c r="A25" t="s">
        <v>738</v>
      </c>
    </row>
    <row r="26" spans="1:8" x14ac:dyDescent="0.25">
      <c r="A26" t="s">
        <v>739</v>
      </c>
    </row>
    <row r="27" spans="1:8" x14ac:dyDescent="0.25">
      <c r="A27" t="s">
        <v>740</v>
      </c>
    </row>
    <row r="28" spans="1:8" ht="30" customHeight="1" x14ac:dyDescent="0.25">
      <c r="A28" s="642" t="s">
        <v>659</v>
      </c>
      <c r="B28" s="642"/>
      <c r="C28" s="642"/>
      <c r="D28" s="642"/>
      <c r="E28" s="642"/>
      <c r="F28" s="642"/>
      <c r="G28" s="642"/>
      <c r="H28" s="642"/>
    </row>
    <row r="29" spans="1:8" x14ac:dyDescent="0.25">
      <c r="A29" t="s">
        <v>741</v>
      </c>
    </row>
    <row r="30" spans="1:8" x14ac:dyDescent="0.25">
      <c r="A30" t="s">
        <v>286</v>
      </c>
    </row>
    <row r="31" spans="1:8" x14ac:dyDescent="0.25">
      <c r="A31" s="9" t="s">
        <v>284</v>
      </c>
    </row>
    <row r="32" spans="1:8" x14ac:dyDescent="0.25">
      <c r="A32" s="9" t="s">
        <v>285</v>
      </c>
    </row>
    <row r="33" spans="1:1" x14ac:dyDescent="0.25">
      <c r="A33" t="s">
        <v>288</v>
      </c>
    </row>
    <row r="34" spans="1:1" x14ac:dyDescent="0.25">
      <c r="A34" s="9" t="s">
        <v>742</v>
      </c>
    </row>
    <row r="35" spans="1:1" x14ac:dyDescent="0.25">
      <c r="A35" s="9" t="s">
        <v>743</v>
      </c>
    </row>
  </sheetData>
  <mergeCells count="1">
    <mergeCell ref="A28:H28"/>
  </mergeCells>
  <pageMargins left="0.70866141732283472" right="0.70866141732283472" top="0.78740157480314965" bottom="0.78740157480314965" header="0.31496062992125984" footer="0.31496062992125984"/>
  <pageSetup paperSize="9" scale="8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6"/>
  <sheetViews>
    <sheetView workbookViewId="0">
      <selection activeCell="H23" sqref="H23"/>
    </sheetView>
  </sheetViews>
  <sheetFormatPr baseColWidth="10" defaultRowHeight="15" x14ac:dyDescent="0.25"/>
  <cols>
    <col min="2" max="2" width="17.7109375" bestFit="1" customWidth="1"/>
    <col min="3" max="10" width="17.7109375" customWidth="1"/>
  </cols>
  <sheetData>
    <row r="1" spans="1:9" ht="21" x14ac:dyDescent="0.35">
      <c r="A1" s="162" t="s">
        <v>195</v>
      </c>
      <c r="C1" s="618" t="s">
        <v>1302</v>
      </c>
      <c r="D1" s="615"/>
    </row>
    <row r="3" spans="1:9" x14ac:dyDescent="0.25">
      <c r="A3" s="300" t="s">
        <v>196</v>
      </c>
    </row>
    <row r="5" spans="1:9" x14ac:dyDescent="0.25">
      <c r="A5" s="1"/>
      <c r="B5" s="34"/>
      <c r="C5" s="34"/>
      <c r="D5" s="34"/>
      <c r="E5" s="34"/>
      <c r="F5" s="34"/>
      <c r="G5" s="34"/>
      <c r="H5" s="34"/>
    </row>
    <row r="6" spans="1:9" ht="25.5" x14ac:dyDescent="0.25">
      <c r="A6" s="18" t="s">
        <v>197</v>
      </c>
      <c r="B6" s="35" t="s">
        <v>198</v>
      </c>
      <c r="C6" s="36"/>
      <c r="D6" s="35" t="s">
        <v>199</v>
      </c>
      <c r="E6" s="35" t="s">
        <v>200</v>
      </c>
      <c r="G6" s="36"/>
      <c r="H6" s="37"/>
    </row>
    <row r="7" spans="1:9" x14ac:dyDescent="0.25">
      <c r="A7" s="2">
        <v>0</v>
      </c>
      <c r="B7" s="281">
        <v>9.5</v>
      </c>
      <c r="C7" s="366"/>
      <c r="D7" s="365">
        <v>0</v>
      </c>
      <c r="E7" s="281">
        <v>275</v>
      </c>
      <c r="G7" s="37"/>
      <c r="H7" s="37"/>
    </row>
    <row r="8" spans="1:9" x14ac:dyDescent="0.25">
      <c r="A8" s="2">
        <v>150</v>
      </c>
      <c r="B8" s="281">
        <v>11.1</v>
      </c>
      <c r="C8" s="366"/>
      <c r="D8" s="365">
        <v>3</v>
      </c>
      <c r="E8" s="281">
        <v>0</v>
      </c>
      <c r="G8" s="37"/>
      <c r="H8" s="37"/>
    </row>
    <row r="9" spans="1:9" x14ac:dyDescent="0.25">
      <c r="A9" s="38"/>
      <c r="B9" s="37"/>
      <c r="C9" s="37"/>
      <c r="D9" s="37"/>
      <c r="E9" s="37"/>
      <c r="F9" s="37"/>
      <c r="G9" s="37"/>
      <c r="H9" s="37"/>
    </row>
    <row r="10" spans="1:9" ht="25.5" x14ac:dyDescent="0.25">
      <c r="A10" s="18" t="s">
        <v>201</v>
      </c>
      <c r="B10" s="35" t="s">
        <v>744</v>
      </c>
      <c r="C10" s="35" t="s">
        <v>202</v>
      </c>
      <c r="D10" s="35" t="s">
        <v>203</v>
      </c>
      <c r="E10" s="35" t="s">
        <v>594</v>
      </c>
      <c r="F10" s="35" t="s">
        <v>198</v>
      </c>
      <c r="G10" s="35" t="s">
        <v>204</v>
      </c>
      <c r="H10" s="35" t="s">
        <v>205</v>
      </c>
      <c r="I10" s="18" t="s">
        <v>206</v>
      </c>
    </row>
    <row r="11" spans="1:9" x14ac:dyDescent="0.25">
      <c r="A11" s="39">
        <v>27670</v>
      </c>
      <c r="B11" s="33" t="s">
        <v>214</v>
      </c>
      <c r="C11" s="365">
        <v>204</v>
      </c>
      <c r="D11" s="39">
        <v>0</v>
      </c>
      <c r="E11" s="60">
        <f t="shared" ref="E11:E21" si="0">D11/C11</f>
        <v>0</v>
      </c>
      <c r="F11" s="89">
        <f t="shared" ref="F11:F20" si="1">IF(C11&gt;=$A$8,$B$8,$B$7)</f>
        <v>11.1</v>
      </c>
      <c r="G11" s="89">
        <f t="shared" ref="G11:G21" si="2">IF(D11&gt;=$D$8,$E$8,$E$7)</f>
        <v>275</v>
      </c>
      <c r="H11" s="89">
        <f>+F11*C11+G11</f>
        <v>2539.4</v>
      </c>
      <c r="I11" s="39">
        <f t="shared" ref="I11:I21" si="3">RANK(H11,$H$11:$H$21)</f>
        <v>1</v>
      </c>
    </row>
    <row r="12" spans="1:9" x14ac:dyDescent="0.25">
      <c r="A12" s="39">
        <v>29551</v>
      </c>
      <c r="B12" s="33" t="s">
        <v>216</v>
      </c>
      <c r="C12" s="365">
        <v>162</v>
      </c>
      <c r="D12" s="39">
        <v>0</v>
      </c>
      <c r="E12" s="60">
        <f t="shared" si="0"/>
        <v>0</v>
      </c>
      <c r="F12" s="89">
        <f t="shared" si="1"/>
        <v>11.1</v>
      </c>
      <c r="G12" s="89">
        <f t="shared" si="2"/>
        <v>275</v>
      </c>
      <c r="H12" s="89">
        <f t="shared" ref="H12:H21" si="4">+F12*C12+G12</f>
        <v>2073.1999999999998</v>
      </c>
      <c r="I12" s="39">
        <f t="shared" si="3"/>
        <v>3</v>
      </c>
    </row>
    <row r="13" spans="1:9" x14ac:dyDescent="0.25">
      <c r="A13" s="39">
        <v>24089</v>
      </c>
      <c r="B13" s="33" t="s">
        <v>223</v>
      </c>
      <c r="C13" s="365">
        <v>140</v>
      </c>
      <c r="D13" s="39">
        <v>1</v>
      </c>
      <c r="E13" s="60">
        <f t="shared" si="0"/>
        <v>7.1428571428571426E-3</v>
      </c>
      <c r="F13" s="89">
        <f t="shared" si="1"/>
        <v>9.5</v>
      </c>
      <c r="G13" s="89">
        <f t="shared" si="2"/>
        <v>275</v>
      </c>
      <c r="H13" s="89">
        <f t="shared" si="4"/>
        <v>1605</v>
      </c>
      <c r="I13" s="39">
        <f t="shared" si="3"/>
        <v>10</v>
      </c>
    </row>
    <row r="14" spans="1:9" x14ac:dyDescent="0.25">
      <c r="A14" s="39">
        <v>21192</v>
      </c>
      <c r="B14" s="33" t="s">
        <v>209</v>
      </c>
      <c r="C14" s="365">
        <v>155</v>
      </c>
      <c r="D14" s="39">
        <v>1</v>
      </c>
      <c r="E14" s="60">
        <f t="shared" si="0"/>
        <v>6.4516129032258064E-3</v>
      </c>
      <c r="F14" s="89">
        <f t="shared" si="1"/>
        <v>11.1</v>
      </c>
      <c r="G14" s="89">
        <f t="shared" si="2"/>
        <v>275</v>
      </c>
      <c r="H14" s="89">
        <f t="shared" si="4"/>
        <v>1995.5</v>
      </c>
      <c r="I14" s="39">
        <f t="shared" si="3"/>
        <v>5</v>
      </c>
    </row>
    <row r="15" spans="1:9" x14ac:dyDescent="0.25">
      <c r="A15" s="39">
        <v>21081</v>
      </c>
      <c r="B15" s="33" t="s">
        <v>208</v>
      </c>
      <c r="C15" s="365">
        <v>145</v>
      </c>
      <c r="D15" s="39">
        <v>2</v>
      </c>
      <c r="E15" s="60">
        <f t="shared" si="0"/>
        <v>1.3793103448275862E-2</v>
      </c>
      <c r="F15" s="89">
        <f t="shared" si="1"/>
        <v>9.5</v>
      </c>
      <c r="G15" s="89">
        <f t="shared" si="2"/>
        <v>275</v>
      </c>
      <c r="H15" s="89">
        <f t="shared" si="4"/>
        <v>1652.5</v>
      </c>
      <c r="I15" s="39">
        <f t="shared" si="3"/>
        <v>9</v>
      </c>
    </row>
    <row r="16" spans="1:9" x14ac:dyDescent="0.25">
      <c r="A16" s="39">
        <v>28539</v>
      </c>
      <c r="B16" s="33" t="s">
        <v>212</v>
      </c>
      <c r="C16" s="365">
        <v>157</v>
      </c>
      <c r="D16" s="39">
        <v>2</v>
      </c>
      <c r="E16" s="60">
        <f t="shared" si="0"/>
        <v>1.2738853503184714E-2</v>
      </c>
      <c r="F16" s="89">
        <f t="shared" si="1"/>
        <v>11.1</v>
      </c>
      <c r="G16" s="89">
        <f t="shared" si="2"/>
        <v>275</v>
      </c>
      <c r="H16" s="89">
        <f t="shared" si="4"/>
        <v>2017.7</v>
      </c>
      <c r="I16" s="39">
        <f t="shared" si="3"/>
        <v>4</v>
      </c>
    </row>
    <row r="17" spans="1:9" x14ac:dyDescent="0.25">
      <c r="A17" s="39">
        <v>20342</v>
      </c>
      <c r="B17" s="33" t="s">
        <v>207</v>
      </c>
      <c r="C17" s="365">
        <v>161</v>
      </c>
      <c r="D17" s="39">
        <v>4</v>
      </c>
      <c r="E17" s="60">
        <f t="shared" si="0"/>
        <v>2.4844720496894408E-2</v>
      </c>
      <c r="F17" s="89">
        <f t="shared" si="1"/>
        <v>11.1</v>
      </c>
      <c r="G17" s="89">
        <f t="shared" si="2"/>
        <v>0</v>
      </c>
      <c r="H17" s="89">
        <f t="shared" si="4"/>
        <v>1787.1</v>
      </c>
      <c r="I17" s="39">
        <f t="shared" si="3"/>
        <v>7</v>
      </c>
    </row>
    <row r="18" spans="1:9" x14ac:dyDescent="0.25">
      <c r="A18" s="39">
        <v>23916</v>
      </c>
      <c r="B18" s="33" t="s">
        <v>222</v>
      </c>
      <c r="C18" s="365">
        <v>144</v>
      </c>
      <c r="D18" s="39">
        <v>3</v>
      </c>
      <c r="E18" s="60">
        <f t="shared" si="0"/>
        <v>2.0833333333333332E-2</v>
      </c>
      <c r="F18" s="89">
        <f t="shared" si="1"/>
        <v>9.5</v>
      </c>
      <c r="G18" s="89">
        <f t="shared" si="2"/>
        <v>0</v>
      </c>
      <c r="H18" s="89">
        <f t="shared" si="4"/>
        <v>1368</v>
      </c>
      <c r="I18" s="39">
        <f t="shared" si="3"/>
        <v>11</v>
      </c>
    </row>
    <row r="19" spans="1:9" x14ac:dyDescent="0.25">
      <c r="A19" s="39">
        <v>29203</v>
      </c>
      <c r="B19" s="33" t="s">
        <v>213</v>
      </c>
      <c r="C19" s="365">
        <v>151</v>
      </c>
      <c r="D19" s="39">
        <v>4</v>
      </c>
      <c r="E19" s="60">
        <f t="shared" si="0"/>
        <v>2.6490066225165563E-2</v>
      </c>
      <c r="F19" s="89">
        <f t="shared" si="1"/>
        <v>11.1</v>
      </c>
      <c r="G19" s="89">
        <f t="shared" si="2"/>
        <v>0</v>
      </c>
      <c r="H19" s="89">
        <f t="shared" si="4"/>
        <v>1676.1</v>
      </c>
      <c r="I19" s="39">
        <f t="shared" si="3"/>
        <v>8</v>
      </c>
    </row>
    <row r="20" spans="1:9" x14ac:dyDescent="0.25">
      <c r="A20" s="39">
        <v>22197</v>
      </c>
      <c r="B20" s="33" t="s">
        <v>221</v>
      </c>
      <c r="C20" s="365">
        <v>170</v>
      </c>
      <c r="D20" s="39">
        <v>6</v>
      </c>
      <c r="E20" s="60">
        <f t="shared" si="0"/>
        <v>3.5294117647058823E-2</v>
      </c>
      <c r="F20" s="89">
        <f t="shared" si="1"/>
        <v>11.1</v>
      </c>
      <c r="G20" s="89">
        <f t="shared" si="2"/>
        <v>0</v>
      </c>
      <c r="H20" s="89">
        <f t="shared" si="4"/>
        <v>1887</v>
      </c>
      <c r="I20" s="39">
        <f t="shared" si="3"/>
        <v>6</v>
      </c>
    </row>
    <row r="21" spans="1:9" x14ac:dyDescent="0.25">
      <c r="A21" s="39">
        <v>28325</v>
      </c>
      <c r="B21" s="33" t="s">
        <v>224</v>
      </c>
      <c r="C21" s="365">
        <v>215</v>
      </c>
      <c r="D21" s="39">
        <v>8</v>
      </c>
      <c r="E21" s="60">
        <f t="shared" si="0"/>
        <v>3.7209302325581395E-2</v>
      </c>
      <c r="F21" s="118">
        <f>VLOOKUP(C21,$A$7:$B$8,2)</f>
        <v>11.1</v>
      </c>
      <c r="G21" s="89">
        <f t="shared" si="2"/>
        <v>0</v>
      </c>
      <c r="H21" s="89">
        <f t="shared" si="4"/>
        <v>2386.5</v>
      </c>
      <c r="I21" s="39">
        <f t="shared" si="3"/>
        <v>2</v>
      </c>
    </row>
    <row r="22" spans="1:9" x14ac:dyDescent="0.25">
      <c r="F22" s="117" t="s">
        <v>593</v>
      </c>
      <c r="G22" s="116"/>
      <c r="H22" s="116"/>
    </row>
    <row r="23" spans="1:9" x14ac:dyDescent="0.25">
      <c r="A23" s="39" t="s">
        <v>46</v>
      </c>
      <c r="B23" s="33"/>
      <c r="C23" s="59">
        <f>SUM(C11:C21)</f>
        <v>1804</v>
      </c>
      <c r="D23" s="39">
        <f>SUM(D11:D21)</f>
        <v>31</v>
      </c>
      <c r="E23" s="33"/>
      <c r="F23" s="33"/>
      <c r="G23" s="89">
        <f>SUM(G11:G21)</f>
        <v>1650</v>
      </c>
      <c r="H23" s="89">
        <f>SUM(H11:H21)</f>
        <v>20988</v>
      </c>
      <c r="I23" s="33"/>
    </row>
    <row r="24" spans="1:9" x14ac:dyDescent="0.25">
      <c r="A24" s="55"/>
    </row>
    <row r="25" spans="1:9" x14ac:dyDescent="0.25">
      <c r="A25" s="55"/>
      <c r="B25" t="s">
        <v>738</v>
      </c>
    </row>
    <row r="26" spans="1:9" x14ac:dyDescent="0.25">
      <c r="A26" s="55"/>
      <c r="B26" t="s">
        <v>739</v>
      </c>
    </row>
    <row r="27" spans="1:9" x14ac:dyDescent="0.25">
      <c r="A27" s="55"/>
      <c r="B27" t="s">
        <v>740</v>
      </c>
    </row>
    <row r="28" spans="1:9" ht="30" customHeight="1" x14ac:dyDescent="0.25">
      <c r="A28" s="55"/>
      <c r="B28" s="642" t="s">
        <v>659</v>
      </c>
      <c r="C28" s="642"/>
      <c r="D28" s="642"/>
      <c r="E28" s="642"/>
      <c r="F28" s="642"/>
      <c r="G28" s="642"/>
      <c r="H28" s="642"/>
      <c r="I28" s="642"/>
    </row>
    <row r="29" spans="1:9" x14ac:dyDescent="0.25">
      <c r="A29" s="55"/>
      <c r="B29" t="s">
        <v>741</v>
      </c>
    </row>
    <row r="30" spans="1:9" x14ac:dyDescent="0.25">
      <c r="A30" s="55"/>
      <c r="B30" t="s">
        <v>286</v>
      </c>
    </row>
    <row r="31" spans="1:9" x14ac:dyDescent="0.25">
      <c r="A31" s="55"/>
      <c r="B31" s="9" t="s">
        <v>284</v>
      </c>
    </row>
    <row r="32" spans="1:9" x14ac:dyDescent="0.25">
      <c r="A32" s="55"/>
      <c r="B32" s="9" t="s">
        <v>285</v>
      </c>
    </row>
    <row r="33" spans="1:2" x14ac:dyDescent="0.25">
      <c r="A33" s="55"/>
      <c r="B33" t="s">
        <v>288</v>
      </c>
    </row>
    <row r="34" spans="1:2" x14ac:dyDescent="0.25">
      <c r="B34" s="9" t="s">
        <v>287</v>
      </c>
    </row>
    <row r="35" spans="1:2" x14ac:dyDescent="0.25">
      <c r="B35" s="9" t="s">
        <v>595</v>
      </c>
    </row>
    <row r="36" spans="1:2" x14ac:dyDescent="0.25">
      <c r="B36" s="9" t="s">
        <v>596</v>
      </c>
    </row>
  </sheetData>
  <sortState xmlns:xlrd2="http://schemas.microsoft.com/office/spreadsheetml/2017/richdata2" ref="A11:I23">
    <sortCondition ref="E11:E23"/>
    <sortCondition ref="B11:B23"/>
  </sortState>
  <mergeCells count="1">
    <mergeCell ref="B28:I28"/>
  </mergeCells>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8"/>
  <sheetViews>
    <sheetView zoomScaleNormal="100" workbookViewId="0"/>
  </sheetViews>
  <sheetFormatPr baseColWidth="10" defaultColWidth="11.42578125" defaultRowHeight="15" x14ac:dyDescent="0.25"/>
  <cols>
    <col min="1" max="1" width="21" customWidth="1"/>
    <col min="2" max="2" width="13.85546875" customWidth="1"/>
    <col min="3" max="3" width="13.42578125" customWidth="1"/>
    <col min="4" max="4" width="13.7109375" customWidth="1"/>
  </cols>
  <sheetData>
    <row r="1" spans="1:4" ht="21" x14ac:dyDescent="0.35">
      <c r="A1" s="162" t="s">
        <v>84</v>
      </c>
      <c r="B1" s="618" t="s">
        <v>1301</v>
      </c>
      <c r="C1" s="615"/>
      <c r="D1" s="621"/>
    </row>
    <row r="2" spans="1:4" x14ac:dyDescent="0.25">
      <c r="D2" s="26"/>
    </row>
    <row r="3" spans="1:4" x14ac:dyDescent="0.25">
      <c r="A3" s="300" t="s">
        <v>756</v>
      </c>
      <c r="B3" s="287"/>
      <c r="C3" s="287"/>
      <c r="D3" s="287"/>
    </row>
    <row r="4" spans="1:4" x14ac:dyDescent="0.25">
      <c r="D4" s="26"/>
    </row>
    <row r="5" spans="1:4" ht="30" x14ac:dyDescent="0.25">
      <c r="A5" s="288" t="s">
        <v>85</v>
      </c>
      <c r="B5" s="289" t="s">
        <v>86</v>
      </c>
      <c r="C5" s="289" t="s">
        <v>87</v>
      </c>
      <c r="D5" s="290" t="s">
        <v>88</v>
      </c>
    </row>
    <row r="7" spans="1:4" x14ac:dyDescent="0.25">
      <c r="A7" s="287" t="s">
        <v>745</v>
      </c>
      <c r="B7" s="165">
        <v>21.9</v>
      </c>
      <c r="C7" s="165">
        <v>65.8</v>
      </c>
      <c r="D7" s="165">
        <f t="shared" ref="D7:D14" si="0">C7*1.19</f>
        <v>78.301999999999992</v>
      </c>
    </row>
    <row r="8" spans="1:4" x14ac:dyDescent="0.25">
      <c r="A8" s="287" t="s">
        <v>746</v>
      </c>
      <c r="B8" s="165">
        <v>20.889999999999997</v>
      </c>
      <c r="C8" s="165">
        <v>36.299999999999997</v>
      </c>
      <c r="D8" s="165">
        <f t="shared" si="0"/>
        <v>43.196999999999996</v>
      </c>
    </row>
    <row r="9" spans="1:4" x14ac:dyDescent="0.25">
      <c r="A9" s="287" t="s">
        <v>747</v>
      </c>
      <c r="B9" s="165">
        <v>5.3000000000000007</v>
      </c>
      <c r="C9" s="165">
        <v>11.75</v>
      </c>
      <c r="D9" s="165">
        <f t="shared" si="0"/>
        <v>13.9825</v>
      </c>
    </row>
    <row r="10" spans="1:4" x14ac:dyDescent="0.25">
      <c r="A10" s="287" t="s">
        <v>748</v>
      </c>
      <c r="B10" s="165">
        <v>27.889999999999997</v>
      </c>
      <c r="C10" s="165">
        <v>77</v>
      </c>
      <c r="D10" s="165">
        <f t="shared" si="0"/>
        <v>91.63</v>
      </c>
    </row>
    <row r="11" spans="1:4" x14ac:dyDescent="0.25">
      <c r="A11" s="287" t="s">
        <v>749</v>
      </c>
      <c r="B11" s="165">
        <v>19.799999999999997</v>
      </c>
      <c r="C11" s="165">
        <v>33.200000000000003</v>
      </c>
      <c r="D11" s="165">
        <f t="shared" si="0"/>
        <v>39.508000000000003</v>
      </c>
    </row>
    <row r="12" spans="1:4" x14ac:dyDescent="0.25">
      <c r="A12" s="287" t="s">
        <v>750</v>
      </c>
      <c r="B12" s="165">
        <v>22.9</v>
      </c>
      <c r="C12" s="165">
        <v>40.5</v>
      </c>
      <c r="D12" s="165">
        <f t="shared" si="0"/>
        <v>48.195</v>
      </c>
    </row>
    <row r="13" spans="1:4" x14ac:dyDescent="0.25">
      <c r="A13" s="287" t="s">
        <v>751</v>
      </c>
      <c r="B13" s="165">
        <v>18.399999999999999</v>
      </c>
      <c r="C13" s="165">
        <v>29.8</v>
      </c>
      <c r="D13" s="165">
        <f t="shared" si="0"/>
        <v>35.461999999999996</v>
      </c>
    </row>
    <row r="14" spans="1:4" x14ac:dyDescent="0.25">
      <c r="A14" s="287" t="s">
        <v>752</v>
      </c>
      <c r="B14" s="165">
        <v>5.8500000000000005</v>
      </c>
      <c r="C14" s="165">
        <v>18.149999999999999</v>
      </c>
      <c r="D14" s="165">
        <f t="shared" si="0"/>
        <v>21.598499999999998</v>
      </c>
    </row>
    <row r="17" spans="1:7" ht="30" customHeight="1" x14ac:dyDescent="0.25">
      <c r="A17" s="644" t="s">
        <v>670</v>
      </c>
      <c r="B17" s="644"/>
      <c r="C17" s="644"/>
      <c r="D17" s="644"/>
      <c r="E17" s="644"/>
      <c r="F17" s="644"/>
      <c r="G17" s="644"/>
    </row>
    <row r="18" spans="1:7" ht="30.75" customHeight="1" x14ac:dyDescent="0.25">
      <c r="A18" s="644" t="s">
        <v>753</v>
      </c>
      <c r="B18" s="644"/>
      <c r="C18" s="644"/>
      <c r="D18" s="644"/>
      <c r="E18" s="644"/>
      <c r="F18" s="644"/>
      <c r="G18" s="644"/>
    </row>
    <row r="19" spans="1:7" ht="30.75" customHeight="1" x14ac:dyDescent="0.25">
      <c r="A19" s="644" t="s">
        <v>671</v>
      </c>
      <c r="B19" s="644"/>
      <c r="C19" s="644"/>
      <c r="D19" s="644"/>
      <c r="E19" s="644"/>
      <c r="F19" s="644"/>
      <c r="G19" s="644"/>
    </row>
    <row r="20" spans="1:7" ht="45" customHeight="1" x14ac:dyDescent="0.25">
      <c r="A20" s="644" t="s">
        <v>754</v>
      </c>
      <c r="B20" s="644"/>
      <c r="C20" s="644"/>
      <c r="D20" s="644"/>
      <c r="E20" s="644"/>
      <c r="F20" s="644"/>
      <c r="G20" s="644"/>
    </row>
    <row r="21" spans="1:7" ht="30.75" customHeight="1" x14ac:dyDescent="0.25">
      <c r="A21" s="644" t="s">
        <v>755</v>
      </c>
      <c r="B21" s="644"/>
      <c r="C21" s="644"/>
      <c r="D21" s="644"/>
      <c r="E21" s="644"/>
      <c r="F21" s="644"/>
      <c r="G21" s="644"/>
    </row>
    <row r="22" spans="1:7" ht="45.75" customHeight="1" x14ac:dyDescent="0.25">
      <c r="A22" s="644" t="s">
        <v>763</v>
      </c>
      <c r="B22" s="644"/>
      <c r="C22" s="644"/>
      <c r="D22" s="644"/>
      <c r="E22" s="644"/>
      <c r="F22" s="644"/>
      <c r="G22" s="644"/>
    </row>
    <row r="23" spans="1:7" ht="15" customHeight="1" x14ac:dyDescent="0.25">
      <c r="A23" s="644" t="s">
        <v>607</v>
      </c>
      <c r="B23" s="644"/>
      <c r="C23" s="644"/>
      <c r="D23" s="644"/>
      <c r="E23" s="644"/>
      <c r="F23" s="644"/>
      <c r="G23" s="644"/>
    </row>
    <row r="24" spans="1:7" ht="30" customHeight="1" x14ac:dyDescent="0.25">
      <c r="A24" s="644" t="s">
        <v>765</v>
      </c>
      <c r="B24" s="644"/>
      <c r="C24" s="644"/>
      <c r="D24" s="644"/>
      <c r="E24" s="644"/>
      <c r="F24" s="644"/>
      <c r="G24" s="644"/>
    </row>
    <row r="26" spans="1:7" x14ac:dyDescent="0.25">
      <c r="A26" s="291" t="s">
        <v>604</v>
      </c>
    </row>
    <row r="27" spans="1:7" x14ac:dyDescent="0.25">
      <c r="A27" t="s">
        <v>606</v>
      </c>
    </row>
    <row r="28" spans="1:7" x14ac:dyDescent="0.25">
      <c r="A28" s="287" t="s">
        <v>605</v>
      </c>
    </row>
  </sheetData>
  <mergeCells count="8">
    <mergeCell ref="A22:G22"/>
    <mergeCell ref="A23:G23"/>
    <mergeCell ref="A24:G24"/>
    <mergeCell ref="A17:G17"/>
    <mergeCell ref="A18:G18"/>
    <mergeCell ref="A19:G19"/>
    <mergeCell ref="A20:G20"/>
    <mergeCell ref="A21:G21"/>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31"/>
  <sheetViews>
    <sheetView zoomScaleNormal="100" workbookViewId="0"/>
  </sheetViews>
  <sheetFormatPr baseColWidth="10" defaultColWidth="11.42578125" defaultRowHeight="15" x14ac:dyDescent="0.25"/>
  <cols>
    <col min="1" max="1" width="8.7109375" customWidth="1"/>
    <col min="2" max="2" width="19.28515625" customWidth="1"/>
    <col min="3" max="5" width="13.42578125" customWidth="1"/>
    <col min="6" max="6" width="13.7109375" customWidth="1"/>
    <col min="7" max="7" width="13.85546875" customWidth="1"/>
  </cols>
  <sheetData>
    <row r="1" spans="1:7" ht="21" x14ac:dyDescent="0.35">
      <c r="A1" s="162" t="s">
        <v>84</v>
      </c>
      <c r="C1" s="615" t="s">
        <v>1269</v>
      </c>
      <c r="D1" s="615"/>
      <c r="E1" s="615"/>
      <c r="F1" s="26"/>
    </row>
    <row r="2" spans="1:7" x14ac:dyDescent="0.25">
      <c r="F2" s="26"/>
    </row>
    <row r="3" spans="1:7" x14ac:dyDescent="0.25">
      <c r="A3" s="300" t="s">
        <v>756</v>
      </c>
      <c r="B3" s="287"/>
      <c r="C3" s="287"/>
      <c r="D3" s="287"/>
      <c r="E3" s="287"/>
      <c r="F3" s="287"/>
    </row>
    <row r="4" spans="1:7" x14ac:dyDescent="0.25">
      <c r="F4" s="26"/>
    </row>
    <row r="5" spans="1:7" ht="25.5" x14ac:dyDescent="0.25">
      <c r="B5" s="369" t="s">
        <v>85</v>
      </c>
      <c r="C5" s="122" t="s">
        <v>86</v>
      </c>
      <c r="D5" s="122" t="s">
        <v>87</v>
      </c>
      <c r="E5" s="659" t="s">
        <v>762</v>
      </c>
      <c r="F5" s="659"/>
      <c r="G5" s="123" t="s">
        <v>88</v>
      </c>
    </row>
    <row r="6" spans="1:7" x14ac:dyDescent="0.25">
      <c r="E6" s="55" t="s">
        <v>257</v>
      </c>
      <c r="F6" s="55" t="s">
        <v>256</v>
      </c>
    </row>
    <row r="7" spans="1:7" x14ac:dyDescent="0.25">
      <c r="A7" s="660" t="s">
        <v>761</v>
      </c>
      <c r="B7" s="287" t="s">
        <v>747</v>
      </c>
      <c r="C7" s="73">
        <v>5.3000000000000007</v>
      </c>
      <c r="D7" s="73">
        <v>11.75</v>
      </c>
      <c r="E7" s="73">
        <f t="shared" ref="E7:E14" si="0">D7-C7</f>
        <v>6.4499999999999993</v>
      </c>
      <c r="F7" s="111">
        <f t="shared" ref="F7:F14" si="1">D7/C7</f>
        <v>2.2169811320754715</v>
      </c>
      <c r="G7" s="73">
        <f t="shared" ref="G7:G14" si="2">D7*1.19</f>
        <v>13.9825</v>
      </c>
    </row>
    <row r="8" spans="1:7" x14ac:dyDescent="0.25">
      <c r="A8" s="660"/>
      <c r="B8" s="287" t="s">
        <v>751</v>
      </c>
      <c r="C8" s="73">
        <v>18.399999999999999</v>
      </c>
      <c r="D8" s="73">
        <v>29.8</v>
      </c>
      <c r="E8" s="73">
        <f t="shared" si="0"/>
        <v>11.400000000000002</v>
      </c>
      <c r="F8" s="111">
        <f t="shared" si="1"/>
        <v>1.6195652173913044</v>
      </c>
      <c r="G8" s="73">
        <f t="shared" si="2"/>
        <v>35.461999999999996</v>
      </c>
    </row>
    <row r="9" spans="1:7" x14ac:dyDescent="0.25">
      <c r="A9" s="660"/>
      <c r="B9" s="287" t="s">
        <v>752</v>
      </c>
      <c r="C9" s="73">
        <v>5.8500000000000005</v>
      </c>
      <c r="D9" s="73">
        <v>18.149999999999999</v>
      </c>
      <c r="E9" s="73">
        <f t="shared" si="0"/>
        <v>12.299999999999997</v>
      </c>
      <c r="F9" s="111">
        <f t="shared" si="1"/>
        <v>3.1025641025641022</v>
      </c>
      <c r="G9" s="73">
        <f t="shared" si="2"/>
        <v>21.598499999999998</v>
      </c>
    </row>
    <row r="10" spans="1:7" x14ac:dyDescent="0.25">
      <c r="A10" s="660"/>
      <c r="B10" s="287" t="s">
        <v>749</v>
      </c>
      <c r="C10" s="73">
        <v>19.799999999999997</v>
      </c>
      <c r="D10" s="73">
        <v>33.200000000000003</v>
      </c>
      <c r="E10" s="73">
        <f t="shared" si="0"/>
        <v>13.400000000000006</v>
      </c>
      <c r="F10" s="111">
        <f t="shared" si="1"/>
        <v>1.6767676767676771</v>
      </c>
      <c r="G10" s="73">
        <f t="shared" si="2"/>
        <v>39.508000000000003</v>
      </c>
    </row>
    <row r="11" spans="1:7" x14ac:dyDescent="0.25">
      <c r="A11" s="660"/>
      <c r="B11" s="287" t="s">
        <v>746</v>
      </c>
      <c r="C11" s="73">
        <v>20.889999999999997</v>
      </c>
      <c r="D11" s="73">
        <v>36.299999999999997</v>
      </c>
      <c r="E11" s="73">
        <f t="shared" si="0"/>
        <v>15.41</v>
      </c>
      <c r="F11" s="111">
        <f t="shared" si="1"/>
        <v>1.7376735280038298</v>
      </c>
      <c r="G11" s="73">
        <f t="shared" si="2"/>
        <v>43.196999999999996</v>
      </c>
    </row>
    <row r="12" spans="1:7" x14ac:dyDescent="0.25">
      <c r="A12" s="660"/>
      <c r="B12" s="287" t="s">
        <v>760</v>
      </c>
      <c r="C12" s="73">
        <v>22.9</v>
      </c>
      <c r="D12" s="73">
        <v>40.5</v>
      </c>
      <c r="E12" s="73">
        <f t="shared" si="0"/>
        <v>17.600000000000001</v>
      </c>
      <c r="F12" s="111">
        <f t="shared" si="1"/>
        <v>1.7685589519650655</v>
      </c>
      <c r="G12" s="73">
        <f t="shared" si="2"/>
        <v>48.195</v>
      </c>
    </row>
    <row r="13" spans="1:7" x14ac:dyDescent="0.25">
      <c r="A13" s="660"/>
      <c r="B13" s="287" t="s">
        <v>745</v>
      </c>
      <c r="C13" s="73">
        <v>21.9</v>
      </c>
      <c r="D13" s="73">
        <v>65.8</v>
      </c>
      <c r="E13" s="73">
        <f t="shared" si="0"/>
        <v>43.9</v>
      </c>
      <c r="F13" s="111">
        <f t="shared" si="1"/>
        <v>3.0045662100456623</v>
      </c>
      <c r="G13" s="73">
        <f t="shared" si="2"/>
        <v>78.301999999999992</v>
      </c>
    </row>
    <row r="14" spans="1:7" x14ac:dyDescent="0.25">
      <c r="A14" s="660"/>
      <c r="B14" s="287" t="s">
        <v>748</v>
      </c>
      <c r="C14" s="73">
        <v>27.889999999999997</v>
      </c>
      <c r="D14" s="73">
        <v>77</v>
      </c>
      <c r="E14" s="73">
        <f t="shared" si="0"/>
        <v>49.11</v>
      </c>
      <c r="F14" s="111">
        <f t="shared" si="1"/>
        <v>2.7608461814270351</v>
      </c>
      <c r="G14" s="73">
        <f t="shared" si="2"/>
        <v>91.63</v>
      </c>
    </row>
    <row r="15" spans="1:7" x14ac:dyDescent="0.25">
      <c r="B15" s="368" t="s">
        <v>229</v>
      </c>
      <c r="C15" s="277">
        <f>MAX(C7:C14)</f>
        <v>27.889999999999997</v>
      </c>
      <c r="D15" s="277">
        <f>MAX(D7:D14)</f>
        <v>77</v>
      </c>
      <c r="E15" s="277">
        <f>MAX(E7:E14)</f>
        <v>49.11</v>
      </c>
      <c r="F15" s="277">
        <f>MAX(F7:F14)</f>
        <v>3.1025641025641022</v>
      </c>
      <c r="G15" s="277">
        <f>MAX(G7:G14)</f>
        <v>91.63</v>
      </c>
    </row>
    <row r="16" spans="1:7" x14ac:dyDescent="0.25">
      <c r="B16" s="368" t="s">
        <v>228</v>
      </c>
      <c r="C16" s="277">
        <f>MIN(C7:C14)</f>
        <v>5.3000000000000007</v>
      </c>
      <c r="D16" s="277">
        <f>MIN(D7:D14)</f>
        <v>11.75</v>
      </c>
      <c r="E16" s="277">
        <f>MIN(E7:E14)</f>
        <v>6.4499999999999993</v>
      </c>
      <c r="F16" s="367">
        <f>MIN(F7:F14)</f>
        <v>1.6195652173913044</v>
      </c>
      <c r="G16" s="277">
        <f>MIN(G7:G14)</f>
        <v>13.9825</v>
      </c>
    </row>
    <row r="17" spans="1:8" x14ac:dyDescent="0.25">
      <c r="B17" s="368" t="s">
        <v>227</v>
      </c>
      <c r="C17" s="277">
        <f>AVERAGE(C7:C14)</f>
        <v>17.866249999999997</v>
      </c>
      <c r="D17" s="277">
        <f>AVERAGE(D7:D14)</f>
        <v>39.0625</v>
      </c>
      <c r="E17" s="277">
        <f>AVERAGE(E7:E14)</f>
        <v>21.196249999999999</v>
      </c>
      <c r="F17" s="367">
        <f>AVERAGE(F7:F14)</f>
        <v>2.2359403750300184</v>
      </c>
      <c r="G17" s="277">
        <f>AVERAGE(G7:G14)</f>
        <v>46.484375</v>
      </c>
    </row>
    <row r="20" spans="1:8" ht="30" customHeight="1" x14ac:dyDescent="0.25">
      <c r="A20" s="644" t="s">
        <v>670</v>
      </c>
      <c r="B20" s="644"/>
      <c r="C20" s="644"/>
      <c r="D20" s="644"/>
      <c r="E20" s="644"/>
      <c r="F20" s="644"/>
      <c r="G20" s="644"/>
      <c r="H20" s="315" t="s">
        <v>759</v>
      </c>
    </row>
    <row r="21" spans="1:8" ht="30.75" customHeight="1" x14ac:dyDescent="0.25">
      <c r="A21" s="644" t="s">
        <v>753</v>
      </c>
      <c r="B21" s="644"/>
      <c r="C21" s="644"/>
      <c r="D21" s="644"/>
      <c r="E21" s="644"/>
      <c r="F21" s="644"/>
      <c r="G21" s="644"/>
      <c r="H21" s="315" t="s">
        <v>758</v>
      </c>
    </row>
    <row r="22" spans="1:8" ht="30.75" customHeight="1" x14ac:dyDescent="0.25">
      <c r="A22" s="644" t="s">
        <v>671</v>
      </c>
      <c r="B22" s="644"/>
      <c r="C22" s="644"/>
      <c r="D22" s="644"/>
      <c r="E22" s="644"/>
      <c r="F22" s="644"/>
      <c r="G22" s="644"/>
      <c r="H22" s="315"/>
    </row>
    <row r="23" spans="1:8" ht="45" customHeight="1" x14ac:dyDescent="0.25">
      <c r="A23" s="644" t="s">
        <v>754</v>
      </c>
      <c r="B23" s="644"/>
      <c r="C23" s="644"/>
      <c r="D23" s="644"/>
      <c r="E23" s="644"/>
      <c r="F23" s="644"/>
      <c r="G23" s="644"/>
      <c r="H23" s="315"/>
    </row>
    <row r="24" spans="1:8" ht="30.75" customHeight="1" x14ac:dyDescent="0.25">
      <c r="A24" s="644" t="s">
        <v>755</v>
      </c>
      <c r="B24" s="644"/>
      <c r="C24" s="644"/>
      <c r="D24" s="644"/>
      <c r="E24" s="644"/>
      <c r="F24" s="644"/>
      <c r="G24" s="644"/>
      <c r="H24" s="315"/>
    </row>
    <row r="25" spans="1:8" ht="45.75" customHeight="1" x14ac:dyDescent="0.25">
      <c r="A25" s="644" t="s">
        <v>763</v>
      </c>
      <c r="B25" s="644"/>
      <c r="C25" s="644"/>
      <c r="D25" s="644"/>
      <c r="E25" s="644"/>
      <c r="F25" s="644"/>
      <c r="G25" s="644"/>
      <c r="H25" s="315" t="s">
        <v>757</v>
      </c>
    </row>
    <row r="26" spans="1:8" x14ac:dyDescent="0.25">
      <c r="A26" s="644" t="s">
        <v>607</v>
      </c>
      <c r="B26" s="644"/>
      <c r="C26" s="644"/>
      <c r="D26" s="644"/>
      <c r="E26" s="644"/>
      <c r="F26" s="644"/>
      <c r="G26" s="644"/>
      <c r="H26" t="s">
        <v>764</v>
      </c>
    </row>
    <row r="27" spans="1:8" ht="30" customHeight="1" x14ac:dyDescent="0.25">
      <c r="A27" s="644" t="s">
        <v>765</v>
      </c>
      <c r="B27" s="644"/>
      <c r="C27" s="644"/>
      <c r="D27" s="644"/>
      <c r="E27" s="644"/>
      <c r="F27" s="644"/>
      <c r="G27" s="644"/>
      <c r="H27" t="s">
        <v>766</v>
      </c>
    </row>
    <row r="29" spans="1:8" x14ac:dyDescent="0.25">
      <c r="A29" s="291" t="s">
        <v>604</v>
      </c>
    </row>
    <row r="30" spans="1:8" x14ac:dyDescent="0.25">
      <c r="A30" t="s">
        <v>606</v>
      </c>
    </row>
    <row r="31" spans="1:8" x14ac:dyDescent="0.25">
      <c r="A31" s="287" t="s">
        <v>605</v>
      </c>
    </row>
  </sheetData>
  <mergeCells count="10">
    <mergeCell ref="A26:G26"/>
    <mergeCell ref="A27:G27"/>
    <mergeCell ref="E5:F5"/>
    <mergeCell ref="A7:A14"/>
    <mergeCell ref="A20:G20"/>
    <mergeCell ref="A21:G21"/>
    <mergeCell ref="A22:G22"/>
    <mergeCell ref="A23:G23"/>
    <mergeCell ref="A24:G24"/>
    <mergeCell ref="A25:G25"/>
  </mergeCells>
  <pageMargins left="0.7" right="0.7" top="0.78740157499999996" bottom="0.78740157499999996"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43"/>
  <sheetViews>
    <sheetView workbookViewId="0">
      <selection activeCell="B46" sqref="B46"/>
    </sheetView>
  </sheetViews>
  <sheetFormatPr baseColWidth="10" defaultRowHeight="15" x14ac:dyDescent="0.25"/>
  <cols>
    <col min="2" max="2" width="16.42578125" customWidth="1"/>
    <col min="4" max="4" width="16.42578125" customWidth="1"/>
    <col min="6" max="6" width="14.7109375" customWidth="1"/>
    <col min="7" max="7" width="17.7109375" customWidth="1"/>
    <col min="9" max="9" width="16.5703125" customWidth="1"/>
    <col min="11" max="11" width="14" bestFit="1" customWidth="1"/>
    <col min="13" max="13" width="14" bestFit="1" customWidth="1"/>
    <col min="14" max="14" width="15.7109375" bestFit="1" customWidth="1"/>
  </cols>
  <sheetData>
    <row r="2" spans="2:14" ht="18.75" x14ac:dyDescent="0.3">
      <c r="B2" s="522" t="s">
        <v>930</v>
      </c>
      <c r="I2" s="10" t="s">
        <v>909</v>
      </c>
    </row>
    <row r="4" spans="2:14" x14ac:dyDescent="0.25">
      <c r="B4" s="10" t="s">
        <v>931</v>
      </c>
      <c r="I4" s="10" t="s">
        <v>932</v>
      </c>
    </row>
    <row r="5" spans="2:14" x14ac:dyDescent="0.25">
      <c r="D5" s="511">
        <f ca="1">TODAY()</f>
        <v>45262</v>
      </c>
      <c r="E5" s="294">
        <f ca="1">YEAR(D5)</f>
        <v>2023</v>
      </c>
      <c r="F5" s="294"/>
      <c r="G5" s="294"/>
      <c r="H5" s="294"/>
      <c r="I5" s="294"/>
      <c r="J5" s="294"/>
      <c r="K5" s="511">
        <f ca="1">TODAY()</f>
        <v>45262</v>
      </c>
      <c r="L5" s="294">
        <f ca="1">YEAR(K5)</f>
        <v>2023</v>
      </c>
    </row>
    <row r="6" spans="2:14" x14ac:dyDescent="0.25">
      <c r="B6" s="160"/>
      <c r="C6" s="517"/>
      <c r="D6" s="519" t="s">
        <v>424</v>
      </c>
      <c r="E6" s="518"/>
      <c r="F6" s="519" t="s">
        <v>424</v>
      </c>
      <c r="G6" s="519" t="s">
        <v>907</v>
      </c>
      <c r="I6" s="160"/>
      <c r="J6" s="517"/>
      <c r="K6" s="519" t="s">
        <v>424</v>
      </c>
      <c r="L6" s="518"/>
      <c r="M6" s="519" t="s">
        <v>424</v>
      </c>
      <c r="N6" s="519" t="s">
        <v>907</v>
      </c>
    </row>
    <row r="7" spans="2:14" x14ac:dyDescent="0.25">
      <c r="B7" s="160" t="s">
        <v>1</v>
      </c>
      <c r="C7" s="517">
        <f ca="1">+E7-1</f>
        <v>2021</v>
      </c>
      <c r="D7" s="520" t="s">
        <v>425</v>
      </c>
      <c r="E7" s="518">
        <f ca="1">+E5-1</f>
        <v>2022</v>
      </c>
      <c r="F7" s="520" t="s">
        <v>425</v>
      </c>
      <c r="G7" s="520" t="s">
        <v>908</v>
      </c>
      <c r="I7" s="160" t="s">
        <v>1</v>
      </c>
      <c r="J7" s="517">
        <f ca="1">+L7-1</f>
        <v>2021</v>
      </c>
      <c r="K7" s="520" t="s">
        <v>425</v>
      </c>
      <c r="L7" s="518">
        <f ca="1">+L5-1</f>
        <v>2022</v>
      </c>
      <c r="M7" s="520" t="s">
        <v>425</v>
      </c>
      <c r="N7" s="520" t="s">
        <v>908</v>
      </c>
    </row>
    <row r="8" spans="2:14" x14ac:dyDescent="0.25">
      <c r="B8" s="33" t="s">
        <v>296</v>
      </c>
      <c r="C8" s="39">
        <v>400</v>
      </c>
      <c r="D8" s="189"/>
      <c r="E8" s="39">
        <v>500</v>
      </c>
      <c r="F8" s="33"/>
      <c r="G8" s="609" t="s">
        <v>941</v>
      </c>
      <c r="I8" s="33" t="s">
        <v>296</v>
      </c>
      <c r="J8" s="39">
        <v>400</v>
      </c>
      <c r="K8" s="189"/>
      <c r="L8" s="39">
        <v>500</v>
      </c>
      <c r="M8" s="33"/>
      <c r="N8" s="548">
        <f>+L8/J8-1</f>
        <v>0.25</v>
      </c>
    </row>
    <row r="9" spans="2:14" x14ac:dyDescent="0.25">
      <c r="B9" s="33" t="s">
        <v>297</v>
      </c>
      <c r="C9" s="39">
        <v>392</v>
      </c>
      <c r="D9" s="609" t="s">
        <v>941</v>
      </c>
      <c r="E9" s="39">
        <v>505</v>
      </c>
      <c r="F9" s="609" t="s">
        <v>941</v>
      </c>
      <c r="G9" s="609" t="s">
        <v>941</v>
      </c>
      <c r="I9" s="33" t="s">
        <v>297</v>
      </c>
      <c r="J9" s="39">
        <v>392</v>
      </c>
      <c r="K9" s="548">
        <f>+J9/J8-1</f>
        <v>-2.0000000000000018E-2</v>
      </c>
      <c r="L9" s="39">
        <v>505</v>
      </c>
      <c r="M9" s="548">
        <f>+L9/L8-1</f>
        <v>1.0000000000000009E-2</v>
      </c>
      <c r="N9" s="548">
        <f t="shared" ref="N9:N19" si="0">+L9/J9-1</f>
        <v>0.28826530612244894</v>
      </c>
    </row>
    <row r="10" spans="2:14" x14ac:dyDescent="0.25">
      <c r="B10" s="33" t="s">
        <v>135</v>
      </c>
      <c r="C10" s="39">
        <v>423</v>
      </c>
      <c r="D10" s="609" t="s">
        <v>941</v>
      </c>
      <c r="E10" s="39">
        <v>500</v>
      </c>
      <c r="F10" s="609" t="s">
        <v>941</v>
      </c>
      <c r="G10" s="609" t="s">
        <v>941</v>
      </c>
      <c r="I10" s="33" t="s">
        <v>135</v>
      </c>
      <c r="J10" s="39">
        <v>423</v>
      </c>
      <c r="K10" s="548">
        <f t="shared" ref="K10:K19" si="1">+J10/J9-1</f>
        <v>7.9081632653061229E-2</v>
      </c>
      <c r="L10" s="39">
        <v>500</v>
      </c>
      <c r="M10" s="548">
        <f t="shared" ref="M10:M19" si="2">+L10/L9-1</f>
        <v>-9.9009900990099098E-3</v>
      </c>
      <c r="N10" s="548">
        <f t="shared" si="0"/>
        <v>0.18203309692671388</v>
      </c>
    </row>
    <row r="11" spans="2:14" x14ac:dyDescent="0.25">
      <c r="B11" s="33" t="s">
        <v>260</v>
      </c>
      <c r="C11" s="39">
        <v>431</v>
      </c>
      <c r="D11" s="609" t="s">
        <v>941</v>
      </c>
      <c r="E11" s="39">
        <v>520</v>
      </c>
      <c r="F11" s="609" t="s">
        <v>941</v>
      </c>
      <c r="G11" s="609" t="s">
        <v>941</v>
      </c>
      <c r="I11" s="33" t="s">
        <v>260</v>
      </c>
      <c r="J11" s="39">
        <v>431</v>
      </c>
      <c r="K11" s="548">
        <f t="shared" si="1"/>
        <v>1.891252955082745E-2</v>
      </c>
      <c r="L11" s="39">
        <v>520</v>
      </c>
      <c r="M11" s="548">
        <f t="shared" si="2"/>
        <v>4.0000000000000036E-2</v>
      </c>
      <c r="N11" s="548">
        <f t="shared" si="0"/>
        <v>0.20649651972157779</v>
      </c>
    </row>
    <row r="12" spans="2:14" x14ac:dyDescent="0.25">
      <c r="B12" s="33" t="s">
        <v>261</v>
      </c>
      <c r="C12" s="39">
        <v>444</v>
      </c>
      <c r="D12" s="609" t="s">
        <v>941</v>
      </c>
      <c r="E12" s="39">
        <v>525</v>
      </c>
      <c r="F12" s="609" t="s">
        <v>941</v>
      </c>
      <c r="G12" s="609" t="s">
        <v>941</v>
      </c>
      <c r="I12" s="33" t="s">
        <v>261</v>
      </c>
      <c r="J12" s="39">
        <v>444</v>
      </c>
      <c r="K12" s="548">
        <f t="shared" si="1"/>
        <v>3.0162412993039345E-2</v>
      </c>
      <c r="L12" s="39">
        <v>525</v>
      </c>
      <c r="M12" s="548">
        <f t="shared" si="2"/>
        <v>9.6153846153845812E-3</v>
      </c>
      <c r="N12" s="548">
        <f t="shared" si="0"/>
        <v>0.18243243243243246</v>
      </c>
    </row>
    <row r="13" spans="2:14" x14ac:dyDescent="0.25">
      <c r="B13" s="33" t="s">
        <v>298</v>
      </c>
      <c r="C13" s="39">
        <v>464</v>
      </c>
      <c r="D13" s="609" t="s">
        <v>941</v>
      </c>
      <c r="E13" s="39">
        <v>533</v>
      </c>
      <c r="F13" s="609" t="s">
        <v>941</v>
      </c>
      <c r="G13" s="609" t="s">
        <v>941</v>
      </c>
      <c r="I13" s="33" t="s">
        <v>298</v>
      </c>
      <c r="J13" s="39">
        <v>464</v>
      </c>
      <c r="K13" s="548">
        <f t="shared" si="1"/>
        <v>4.5045045045045029E-2</v>
      </c>
      <c r="L13" s="39">
        <v>533</v>
      </c>
      <c r="M13" s="548">
        <f t="shared" si="2"/>
        <v>1.5238095238095273E-2</v>
      </c>
      <c r="N13" s="548">
        <f t="shared" si="0"/>
        <v>0.1487068965517242</v>
      </c>
    </row>
    <row r="14" spans="2:14" x14ac:dyDescent="0.25">
      <c r="B14" s="33" t="s">
        <v>304</v>
      </c>
      <c r="C14" s="39">
        <v>473</v>
      </c>
      <c r="D14" s="609" t="s">
        <v>941</v>
      </c>
      <c r="E14" s="39">
        <v>545</v>
      </c>
      <c r="F14" s="609" t="s">
        <v>941</v>
      </c>
      <c r="G14" s="609" t="s">
        <v>941</v>
      </c>
      <c r="I14" s="33" t="s">
        <v>304</v>
      </c>
      <c r="J14" s="39">
        <v>473</v>
      </c>
      <c r="K14" s="548">
        <f t="shared" si="1"/>
        <v>1.93965517241379E-2</v>
      </c>
      <c r="L14" s="39">
        <v>545</v>
      </c>
      <c r="M14" s="548">
        <f t="shared" si="2"/>
        <v>2.2514071294559068E-2</v>
      </c>
      <c r="N14" s="548">
        <f t="shared" si="0"/>
        <v>0.15221987315010566</v>
      </c>
    </row>
    <row r="15" spans="2:14" x14ac:dyDescent="0.25">
      <c r="B15" s="33" t="s">
        <v>305</v>
      </c>
      <c r="C15" s="39">
        <v>482</v>
      </c>
      <c r="D15" s="609" t="s">
        <v>941</v>
      </c>
      <c r="E15" s="39">
        <v>550</v>
      </c>
      <c r="F15" s="609" t="s">
        <v>941</v>
      </c>
      <c r="G15" s="609" t="s">
        <v>941</v>
      </c>
      <c r="I15" s="33" t="s">
        <v>305</v>
      </c>
      <c r="J15" s="39">
        <v>482</v>
      </c>
      <c r="K15" s="548">
        <f t="shared" si="1"/>
        <v>1.9027484143763207E-2</v>
      </c>
      <c r="L15" s="39">
        <v>550</v>
      </c>
      <c r="M15" s="548">
        <f t="shared" si="2"/>
        <v>9.1743119266054496E-3</v>
      </c>
      <c r="N15" s="548">
        <f t="shared" si="0"/>
        <v>0.1410788381742738</v>
      </c>
    </row>
    <row r="16" spans="2:14" x14ac:dyDescent="0.25">
      <c r="B16" s="33" t="s">
        <v>306</v>
      </c>
      <c r="C16" s="39">
        <v>517</v>
      </c>
      <c r="D16" s="609" t="s">
        <v>941</v>
      </c>
      <c r="E16" s="39">
        <v>555</v>
      </c>
      <c r="F16" s="609" t="s">
        <v>941</v>
      </c>
      <c r="G16" s="609" t="s">
        <v>941</v>
      </c>
      <c r="I16" s="33" t="s">
        <v>306</v>
      </c>
      <c r="J16" s="39">
        <v>517</v>
      </c>
      <c r="K16" s="548">
        <f t="shared" si="1"/>
        <v>7.2614107883817391E-2</v>
      </c>
      <c r="L16" s="39">
        <v>555</v>
      </c>
      <c r="M16" s="548">
        <f t="shared" si="2"/>
        <v>9.0909090909090384E-3</v>
      </c>
      <c r="N16" s="548">
        <f t="shared" si="0"/>
        <v>7.350096711798848E-2</v>
      </c>
    </row>
    <row r="17" spans="2:15" x14ac:dyDescent="0.25">
      <c r="B17" s="33" t="s">
        <v>307</v>
      </c>
      <c r="C17" s="39">
        <v>526</v>
      </c>
      <c r="D17" s="609" t="s">
        <v>941</v>
      </c>
      <c r="E17" s="39">
        <v>575</v>
      </c>
      <c r="F17" s="609" t="s">
        <v>941</v>
      </c>
      <c r="G17" s="609" t="s">
        <v>941</v>
      </c>
      <c r="I17" s="33" t="s">
        <v>307</v>
      </c>
      <c r="J17" s="39">
        <v>526</v>
      </c>
      <c r="K17" s="548">
        <f t="shared" si="1"/>
        <v>1.740812379110257E-2</v>
      </c>
      <c r="L17" s="39">
        <v>575</v>
      </c>
      <c r="M17" s="548">
        <f t="shared" si="2"/>
        <v>3.6036036036036112E-2</v>
      </c>
      <c r="N17" s="548">
        <f t="shared" si="0"/>
        <v>9.3155893536121637E-2</v>
      </c>
    </row>
    <row r="18" spans="2:15" x14ac:dyDescent="0.25">
      <c r="B18" s="33" t="s">
        <v>308</v>
      </c>
      <c r="C18" s="39">
        <v>544</v>
      </c>
      <c r="D18" s="609" t="s">
        <v>941</v>
      </c>
      <c r="E18" s="39">
        <v>580</v>
      </c>
      <c r="F18" s="609" t="s">
        <v>941</v>
      </c>
      <c r="G18" s="609" t="s">
        <v>941</v>
      </c>
      <c r="I18" s="33" t="s">
        <v>308</v>
      </c>
      <c r="J18" s="39">
        <v>544</v>
      </c>
      <c r="K18" s="548">
        <f t="shared" si="1"/>
        <v>3.4220532319391594E-2</v>
      </c>
      <c r="L18" s="39">
        <v>580</v>
      </c>
      <c r="M18" s="548">
        <f t="shared" si="2"/>
        <v>8.6956521739129933E-3</v>
      </c>
      <c r="N18" s="548">
        <f t="shared" si="0"/>
        <v>6.6176470588235281E-2</v>
      </c>
    </row>
    <row r="19" spans="2:15" x14ac:dyDescent="0.25">
      <c r="B19" s="33" t="s">
        <v>309</v>
      </c>
      <c r="C19" s="39">
        <v>544</v>
      </c>
      <c r="D19" s="609" t="s">
        <v>941</v>
      </c>
      <c r="E19" s="39">
        <v>590</v>
      </c>
      <c r="F19" s="609" t="s">
        <v>941</v>
      </c>
      <c r="G19" s="609" t="s">
        <v>941</v>
      </c>
      <c r="I19" s="33" t="s">
        <v>309</v>
      </c>
      <c r="J19" s="39">
        <v>544</v>
      </c>
      <c r="K19" s="548">
        <f t="shared" si="1"/>
        <v>0</v>
      </c>
      <c r="L19" s="39">
        <v>590</v>
      </c>
      <c r="M19" s="548">
        <f t="shared" si="2"/>
        <v>1.7241379310344751E-2</v>
      </c>
      <c r="N19" s="548">
        <f t="shared" si="0"/>
        <v>8.4558823529411686E-2</v>
      </c>
    </row>
    <row r="20" spans="2:15" x14ac:dyDescent="0.25">
      <c r="B20" s="322" t="s">
        <v>46</v>
      </c>
      <c r="C20" s="609" t="s">
        <v>941</v>
      </c>
      <c r="D20" s="521"/>
      <c r="E20" s="609" t="s">
        <v>941</v>
      </c>
      <c r="F20" s="521"/>
      <c r="G20" s="521"/>
      <c r="I20" s="322" t="s">
        <v>46</v>
      </c>
      <c r="J20" s="549">
        <f>SUM(J8:J19)</f>
        <v>5640</v>
      </c>
      <c r="K20" s="549"/>
      <c r="L20" s="549">
        <f>SUM(L8:L19)</f>
        <v>6478</v>
      </c>
      <c r="M20" s="549"/>
      <c r="N20" s="549"/>
    </row>
    <row r="21" spans="2:15" x14ac:dyDescent="0.25">
      <c r="B21" s="322" t="s">
        <v>904</v>
      </c>
      <c r="C21" s="609" t="s">
        <v>941</v>
      </c>
      <c r="D21" s="521"/>
      <c r="E21" s="609" t="s">
        <v>941</v>
      </c>
      <c r="F21" s="521"/>
      <c r="G21" s="521"/>
      <c r="I21" s="322" t="s">
        <v>904</v>
      </c>
      <c r="J21" s="549">
        <f>MIN(J8:J19)</f>
        <v>392</v>
      </c>
      <c r="K21" s="549"/>
      <c r="L21" s="549">
        <f>MIN(L8:L19)</f>
        <v>500</v>
      </c>
      <c r="M21" s="549"/>
      <c r="N21" s="549"/>
    </row>
    <row r="22" spans="2:15" x14ac:dyDescent="0.25">
      <c r="B22" s="322" t="s">
        <v>905</v>
      </c>
      <c r="C22" s="609" t="s">
        <v>941</v>
      </c>
      <c r="D22" s="521"/>
      <c r="E22" s="609" t="s">
        <v>941</v>
      </c>
      <c r="F22" s="521"/>
      <c r="G22" s="521"/>
      <c r="I22" s="322" t="s">
        <v>905</v>
      </c>
      <c r="J22" s="549">
        <f>MAX(J8:J19)</f>
        <v>544</v>
      </c>
      <c r="K22" s="549"/>
      <c r="L22" s="549">
        <f>MAX(L8:L19)</f>
        <v>590</v>
      </c>
      <c r="M22" s="549"/>
      <c r="N22" s="549"/>
    </row>
    <row r="23" spans="2:15" x14ac:dyDescent="0.25">
      <c r="B23" s="322" t="s">
        <v>906</v>
      </c>
      <c r="C23" s="609" t="s">
        <v>941</v>
      </c>
      <c r="D23" s="521"/>
      <c r="E23" s="609" t="s">
        <v>941</v>
      </c>
      <c r="F23" s="521"/>
      <c r="G23" s="521"/>
      <c r="I23" s="322" t="s">
        <v>906</v>
      </c>
      <c r="J23" s="549">
        <f>AVERAGE(J8:J19)</f>
        <v>470</v>
      </c>
      <c r="K23" s="549"/>
      <c r="L23" s="549">
        <f>AVERAGE(L8:L19)</f>
        <v>539.83333333333337</v>
      </c>
      <c r="M23" s="549"/>
      <c r="N23" s="549"/>
    </row>
    <row r="25" spans="2:15" x14ac:dyDescent="0.25">
      <c r="B25" s="426" t="s">
        <v>910</v>
      </c>
      <c r="I25" s="426" t="s">
        <v>924</v>
      </c>
    </row>
    <row r="26" spans="2:15" x14ac:dyDescent="0.25">
      <c r="B26" s="40" t="s">
        <v>913</v>
      </c>
      <c r="I26" s="526" t="s">
        <v>925</v>
      </c>
      <c r="J26" s="527"/>
      <c r="K26" s="527"/>
      <c r="L26" s="527"/>
      <c r="M26" s="527"/>
      <c r="N26" s="527"/>
      <c r="O26" s="527"/>
    </row>
    <row r="27" spans="2:15" x14ac:dyDescent="0.25">
      <c r="B27" t="s">
        <v>912</v>
      </c>
      <c r="I27" s="527" t="s">
        <v>926</v>
      </c>
      <c r="J27" s="527"/>
      <c r="K27" s="527"/>
      <c r="L27" s="527"/>
      <c r="M27" s="527"/>
      <c r="N27" s="527"/>
      <c r="O27" s="527"/>
    </row>
    <row r="28" spans="2:15" x14ac:dyDescent="0.25">
      <c r="B28" t="s">
        <v>911</v>
      </c>
      <c r="I28" s="527" t="s">
        <v>927</v>
      </c>
      <c r="J28" s="527"/>
      <c r="K28" s="527"/>
      <c r="L28" s="527"/>
      <c r="M28" s="527"/>
      <c r="N28" s="527"/>
      <c r="O28" s="527"/>
    </row>
    <row r="29" spans="2:15" x14ac:dyDescent="0.25">
      <c r="B29" t="s">
        <v>914</v>
      </c>
      <c r="I29" s="527" t="s">
        <v>928</v>
      </c>
      <c r="J29" s="527"/>
      <c r="K29" s="527"/>
      <c r="L29" s="527"/>
      <c r="M29" s="527"/>
      <c r="N29" s="527"/>
      <c r="O29" s="527"/>
    </row>
    <row r="30" spans="2:15" x14ac:dyDescent="0.25">
      <c r="I30" s="527" t="s">
        <v>929</v>
      </c>
      <c r="J30" s="527"/>
      <c r="K30" s="527"/>
      <c r="L30" s="527"/>
      <c r="M30" s="527"/>
      <c r="N30" s="527"/>
      <c r="O30" s="527"/>
    </row>
    <row r="31" spans="2:15" x14ac:dyDescent="0.25">
      <c r="B31" s="10" t="s">
        <v>915</v>
      </c>
    </row>
    <row r="32" spans="2:15" x14ac:dyDescent="0.25">
      <c r="B32" t="s">
        <v>923</v>
      </c>
    </row>
    <row r="34" spans="2:5" x14ac:dyDescent="0.25">
      <c r="B34" t="s">
        <v>916</v>
      </c>
      <c r="E34" t="s">
        <v>917</v>
      </c>
    </row>
    <row r="35" spans="2:5" x14ac:dyDescent="0.25">
      <c r="B35" t="s">
        <v>918</v>
      </c>
    </row>
    <row r="36" spans="2:5" x14ac:dyDescent="0.25">
      <c r="B36" t="s">
        <v>919</v>
      </c>
    </row>
    <row r="38" spans="2:5" x14ac:dyDescent="0.25">
      <c r="B38" t="s">
        <v>920</v>
      </c>
    </row>
    <row r="39" spans="2:5" x14ac:dyDescent="0.25">
      <c r="B39" t="s">
        <v>921</v>
      </c>
    </row>
    <row r="40" spans="2:5" x14ac:dyDescent="0.25">
      <c r="B40" t="s">
        <v>922</v>
      </c>
    </row>
    <row r="42" spans="2:5" x14ac:dyDescent="0.25">
      <c r="B42" t="s">
        <v>1278</v>
      </c>
    </row>
    <row r="43" spans="2:5" x14ac:dyDescent="0.25">
      <c r="B43" t="s">
        <v>1277</v>
      </c>
    </row>
  </sheetData>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49"/>
  <sheetViews>
    <sheetView zoomScaleNormal="100" workbookViewId="0"/>
  </sheetViews>
  <sheetFormatPr baseColWidth="10" defaultColWidth="11.42578125" defaultRowHeight="15" x14ac:dyDescent="0.25"/>
  <cols>
    <col min="1" max="1" width="31.42578125" customWidth="1"/>
    <col min="2" max="2" width="15.85546875" bestFit="1" customWidth="1"/>
    <col min="3" max="3" width="17.42578125" bestFit="1" customWidth="1"/>
    <col min="4" max="4" width="4.7109375" customWidth="1"/>
    <col min="5" max="5" width="4.42578125" style="87" customWidth="1"/>
  </cols>
  <sheetData>
    <row r="1" spans="1:11" ht="21" x14ac:dyDescent="0.35">
      <c r="A1" s="162" t="s">
        <v>89</v>
      </c>
      <c r="B1" s="618" t="s">
        <v>1301</v>
      </c>
      <c r="C1" s="615"/>
    </row>
    <row r="3" spans="1:11" x14ac:dyDescent="0.25">
      <c r="A3" s="300" t="s">
        <v>769</v>
      </c>
      <c r="B3" s="300"/>
      <c r="C3" s="300"/>
    </row>
    <row r="5" spans="1:11" x14ac:dyDescent="0.25">
      <c r="A5" s="203"/>
      <c r="B5" s="210" t="s">
        <v>90</v>
      </c>
      <c r="C5" s="210" t="s">
        <v>91</v>
      </c>
    </row>
    <row r="6" spans="1:11" x14ac:dyDescent="0.25">
      <c r="A6" s="210" t="s">
        <v>92</v>
      </c>
      <c r="B6" s="203"/>
      <c r="C6" s="203"/>
    </row>
    <row r="7" spans="1:11" x14ac:dyDescent="0.25">
      <c r="A7" s="203"/>
      <c r="B7" s="203"/>
      <c r="C7" s="238"/>
    </row>
    <row r="8" spans="1:11" ht="29.45" customHeight="1" x14ac:dyDescent="0.25">
      <c r="A8" s="240" t="s">
        <v>93</v>
      </c>
      <c r="B8" s="241"/>
      <c r="C8" s="238"/>
      <c r="E8" s="601" t="s">
        <v>1233</v>
      </c>
      <c r="F8" s="661" t="s">
        <v>1240</v>
      </c>
      <c r="G8" s="661"/>
      <c r="H8" s="661"/>
      <c r="I8" s="661"/>
      <c r="J8" s="661"/>
      <c r="K8" s="661"/>
    </row>
    <row r="9" spans="1:11" x14ac:dyDescent="0.25">
      <c r="A9" s="203" t="s">
        <v>94</v>
      </c>
      <c r="B9" s="203">
        <v>135000</v>
      </c>
      <c r="C9" s="203"/>
      <c r="E9" s="87" t="s">
        <v>1234</v>
      </c>
      <c r="F9" t="s">
        <v>1241</v>
      </c>
    </row>
    <row r="10" spans="1:11" x14ac:dyDescent="0.25">
      <c r="A10" s="203" t="s">
        <v>95</v>
      </c>
      <c r="B10" s="203">
        <v>7500</v>
      </c>
      <c r="C10" s="203"/>
      <c r="E10" s="87" t="s">
        <v>1235</v>
      </c>
      <c r="F10" t="s">
        <v>1242</v>
      </c>
    </row>
    <row r="11" spans="1:11" x14ac:dyDescent="0.25">
      <c r="A11" s="203" t="s">
        <v>96</v>
      </c>
      <c r="B11" s="203"/>
      <c r="C11" s="203"/>
      <c r="E11" s="87" t="s">
        <v>1236</v>
      </c>
      <c r="F11" t="s">
        <v>1246</v>
      </c>
    </row>
    <row r="12" spans="1:11" x14ac:dyDescent="0.25">
      <c r="A12" s="203" t="s">
        <v>97</v>
      </c>
      <c r="B12" s="203">
        <v>8000</v>
      </c>
      <c r="C12" s="203"/>
      <c r="F12" t="s">
        <v>1245</v>
      </c>
    </row>
    <row r="13" spans="1:11" x14ac:dyDescent="0.25">
      <c r="A13" s="203" t="s">
        <v>98</v>
      </c>
      <c r="B13" s="203">
        <v>26000</v>
      </c>
      <c r="C13" s="203"/>
      <c r="E13" s="87" t="s">
        <v>1237</v>
      </c>
      <c r="F13" t="s">
        <v>1243</v>
      </c>
    </row>
    <row r="14" spans="1:11" x14ac:dyDescent="0.25">
      <c r="A14" s="203" t="s">
        <v>99</v>
      </c>
      <c r="B14" s="203"/>
      <c r="C14" s="203"/>
      <c r="E14" s="87" t="s">
        <v>1238</v>
      </c>
      <c r="F14" t="s">
        <v>1244</v>
      </c>
    </row>
    <row r="15" spans="1:11" x14ac:dyDescent="0.25">
      <c r="A15" s="203" t="s">
        <v>100</v>
      </c>
      <c r="B15" s="203">
        <v>11000</v>
      </c>
      <c r="C15" s="203"/>
      <c r="E15" s="87" t="s">
        <v>1239</v>
      </c>
      <c r="F15" t="s">
        <v>1248</v>
      </c>
    </row>
    <row r="16" spans="1:11" x14ac:dyDescent="0.25">
      <c r="A16" s="203" t="s">
        <v>101</v>
      </c>
      <c r="B16" s="203">
        <v>16000</v>
      </c>
      <c r="C16" s="203"/>
      <c r="F16" t="s">
        <v>1247</v>
      </c>
    </row>
    <row r="17" spans="1:3" x14ac:dyDescent="0.25">
      <c r="A17" s="242" t="s">
        <v>102</v>
      </c>
      <c r="B17" s="242">
        <v>15000</v>
      </c>
      <c r="C17" s="376"/>
    </row>
    <row r="18" spans="1:3" x14ac:dyDescent="0.25">
      <c r="A18" s="203"/>
      <c r="B18" s="203"/>
      <c r="C18" s="203"/>
    </row>
    <row r="19" spans="1:3" x14ac:dyDescent="0.25">
      <c r="A19" s="240" t="s">
        <v>103</v>
      </c>
      <c r="B19" s="203"/>
      <c r="C19" s="203"/>
    </row>
    <row r="20" spans="1:3" x14ac:dyDescent="0.25">
      <c r="A20" s="203" t="s">
        <v>104</v>
      </c>
      <c r="B20" s="203"/>
      <c r="C20" s="203"/>
    </row>
    <row r="21" spans="1:3" x14ac:dyDescent="0.25">
      <c r="A21" s="203" t="s">
        <v>105</v>
      </c>
      <c r="B21" s="203">
        <v>30700</v>
      </c>
      <c r="C21" s="203"/>
    </row>
    <row r="22" spans="1:3" x14ac:dyDescent="0.25">
      <c r="A22" s="203" t="s">
        <v>106</v>
      </c>
      <c r="B22" s="203">
        <v>12500</v>
      </c>
      <c r="C22" s="203"/>
    </row>
    <row r="23" spans="1:3" x14ac:dyDescent="0.25">
      <c r="A23" s="203" t="s">
        <v>107</v>
      </c>
      <c r="B23" s="203">
        <v>8000</v>
      </c>
      <c r="C23" s="203"/>
    </row>
    <row r="24" spans="1:3" x14ac:dyDescent="0.25">
      <c r="A24" s="203" t="s">
        <v>108</v>
      </c>
      <c r="B24" s="203">
        <v>16500</v>
      </c>
      <c r="C24" s="203"/>
    </row>
    <row r="25" spans="1:3" x14ac:dyDescent="0.25">
      <c r="A25" s="203" t="s">
        <v>109</v>
      </c>
      <c r="B25" s="203">
        <v>750</v>
      </c>
      <c r="C25" s="203"/>
    </row>
    <row r="26" spans="1:3" x14ac:dyDescent="0.25">
      <c r="A26" s="203" t="s">
        <v>110</v>
      </c>
      <c r="B26" s="203"/>
      <c r="C26" s="203"/>
    </row>
    <row r="27" spans="1:3" x14ac:dyDescent="0.25">
      <c r="A27" s="203" t="s">
        <v>111</v>
      </c>
      <c r="B27" s="203">
        <v>7500</v>
      </c>
      <c r="C27" s="203"/>
    </row>
    <row r="28" spans="1:3" x14ac:dyDescent="0.25">
      <c r="A28" s="242" t="s">
        <v>112</v>
      </c>
      <c r="B28" s="242">
        <v>1600</v>
      </c>
      <c r="C28" s="376"/>
    </row>
    <row r="29" spans="1:3" x14ac:dyDescent="0.25">
      <c r="A29" s="203"/>
      <c r="B29" s="203"/>
      <c r="C29" s="203"/>
    </row>
    <row r="30" spans="1:3" x14ac:dyDescent="0.25">
      <c r="A30" s="210" t="s">
        <v>113</v>
      </c>
      <c r="B30" s="203"/>
      <c r="C30" s="377"/>
    </row>
    <row r="31" spans="1:3" x14ac:dyDescent="0.25">
      <c r="A31" s="203"/>
      <c r="B31" s="203"/>
      <c r="C31" s="203"/>
    </row>
    <row r="32" spans="1:3" x14ac:dyDescent="0.25">
      <c r="A32" s="210" t="s">
        <v>114</v>
      </c>
      <c r="C32" s="203"/>
    </row>
    <row r="33" spans="1:3" x14ac:dyDescent="0.25">
      <c r="A33" s="203"/>
      <c r="C33" s="203"/>
    </row>
    <row r="34" spans="1:3" x14ac:dyDescent="0.25">
      <c r="A34" s="240" t="s">
        <v>115</v>
      </c>
      <c r="C34" s="203"/>
    </row>
    <row r="35" spans="1:3" x14ac:dyDescent="0.25">
      <c r="A35" s="203" t="s">
        <v>116</v>
      </c>
      <c r="B35">
        <v>110000</v>
      </c>
      <c r="C35" s="203"/>
    </row>
    <row r="36" spans="1:3" x14ac:dyDescent="0.25">
      <c r="A36" s="203" t="s">
        <v>117</v>
      </c>
      <c r="B36">
        <v>32000</v>
      </c>
      <c r="C36" s="377"/>
    </row>
    <row r="37" spans="1:3" x14ac:dyDescent="0.25">
      <c r="C37" s="203"/>
    </row>
    <row r="38" spans="1:3" x14ac:dyDescent="0.25">
      <c r="A38" s="240" t="s">
        <v>118</v>
      </c>
      <c r="C38" s="203"/>
    </row>
    <row r="39" spans="1:3" x14ac:dyDescent="0.25">
      <c r="A39" s="203" t="s">
        <v>119</v>
      </c>
      <c r="B39">
        <v>19500</v>
      </c>
      <c r="C39" s="203"/>
    </row>
    <row r="40" spans="1:3" x14ac:dyDescent="0.25">
      <c r="A40" s="242" t="s">
        <v>120</v>
      </c>
      <c r="B40" s="199">
        <v>900</v>
      </c>
      <c r="C40" s="376"/>
    </row>
    <row r="41" spans="1:3" x14ac:dyDescent="0.25">
      <c r="C41" s="203"/>
    </row>
    <row r="42" spans="1:3" x14ac:dyDescent="0.25">
      <c r="A42" s="210" t="s">
        <v>121</v>
      </c>
      <c r="C42" s="377"/>
    </row>
    <row r="43" spans="1:3" x14ac:dyDescent="0.25">
      <c r="C43" s="203"/>
    </row>
    <row r="44" spans="1:3" x14ac:dyDescent="0.25">
      <c r="A44" s="210" t="s">
        <v>122</v>
      </c>
      <c r="C44" s="203"/>
    </row>
    <row r="45" spans="1:3" x14ac:dyDescent="0.25">
      <c r="A45" s="210"/>
      <c r="C45" s="203"/>
    </row>
    <row r="46" spans="1:3" x14ac:dyDescent="0.25">
      <c r="A46" s="203" t="s">
        <v>123</v>
      </c>
      <c r="C46" s="377"/>
    </row>
    <row r="47" spans="1:3" x14ac:dyDescent="0.25">
      <c r="A47" s="242" t="s">
        <v>124</v>
      </c>
      <c r="B47" s="199"/>
      <c r="C47" s="376"/>
    </row>
    <row r="48" spans="1:3" x14ac:dyDescent="0.25">
      <c r="C48" s="203"/>
    </row>
    <row r="49" spans="1:3" x14ac:dyDescent="0.25">
      <c r="A49" s="210" t="s">
        <v>125</v>
      </c>
      <c r="C49" s="377"/>
    </row>
  </sheetData>
  <mergeCells count="1">
    <mergeCell ref="F8:K8"/>
  </mergeCells>
  <pageMargins left="0.70866141732283472" right="0.70866141732283472" top="0.78740157480314965" bottom="0.78740157480314965" header="0.31496062992125984" footer="0.31496062992125984"/>
  <pageSetup paperSize="9" scale="6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49"/>
  <sheetViews>
    <sheetView zoomScale="130" zoomScaleNormal="130" workbookViewId="0"/>
  </sheetViews>
  <sheetFormatPr baseColWidth="10" defaultColWidth="11.42578125" defaultRowHeight="15" x14ac:dyDescent="0.25"/>
  <cols>
    <col min="1" max="1" width="31.42578125" customWidth="1"/>
    <col min="2" max="2" width="16.85546875" customWidth="1"/>
    <col min="3" max="3" width="17.42578125" bestFit="1" customWidth="1"/>
  </cols>
  <sheetData>
    <row r="1" spans="1:5" ht="21" x14ac:dyDescent="0.35">
      <c r="A1" s="162" t="s">
        <v>89</v>
      </c>
      <c r="B1" s="618" t="s">
        <v>1302</v>
      </c>
      <c r="C1" s="615"/>
    </row>
    <row r="3" spans="1:5" ht="18" x14ac:dyDescent="0.25">
      <c r="A3" s="662" t="s">
        <v>768</v>
      </c>
      <c r="B3" s="662"/>
      <c r="C3" s="662"/>
    </row>
    <row r="5" spans="1:5" x14ac:dyDescent="0.25">
      <c r="A5" s="203"/>
      <c r="B5" s="210" t="s">
        <v>90</v>
      </c>
      <c r="C5" s="210" t="s">
        <v>91</v>
      </c>
    </row>
    <row r="6" spans="1:5" x14ac:dyDescent="0.25">
      <c r="A6" s="210" t="s">
        <v>92</v>
      </c>
      <c r="B6" s="203"/>
      <c r="C6" s="203"/>
    </row>
    <row r="7" spans="1:5" x14ac:dyDescent="0.25">
      <c r="A7" s="203"/>
      <c r="B7" s="203"/>
      <c r="C7" s="238"/>
    </row>
    <row r="8" spans="1:5" x14ac:dyDescent="0.25">
      <c r="A8" s="240" t="s">
        <v>93</v>
      </c>
      <c r="B8" s="241"/>
      <c r="C8" s="238"/>
      <c r="E8" t="s">
        <v>289</v>
      </c>
    </row>
    <row r="9" spans="1:5" x14ac:dyDescent="0.25">
      <c r="A9" s="203" t="s">
        <v>94</v>
      </c>
      <c r="B9" s="241">
        <v>135000</v>
      </c>
      <c r="C9" s="241"/>
      <c r="E9" t="s">
        <v>290</v>
      </c>
    </row>
    <row r="10" spans="1:5" x14ac:dyDescent="0.25">
      <c r="A10" s="203" t="s">
        <v>95</v>
      </c>
      <c r="B10" s="241">
        <v>7500</v>
      </c>
      <c r="C10" s="241"/>
      <c r="E10" t="s">
        <v>291</v>
      </c>
    </row>
    <row r="11" spans="1:5" x14ac:dyDescent="0.25">
      <c r="A11" s="203" t="s">
        <v>96</v>
      </c>
      <c r="B11" s="241"/>
      <c r="C11" s="241"/>
      <c r="E11" t="s">
        <v>292</v>
      </c>
    </row>
    <row r="12" spans="1:5" x14ac:dyDescent="0.25">
      <c r="A12" s="203" t="s">
        <v>97</v>
      </c>
      <c r="B12" s="241">
        <v>8000</v>
      </c>
      <c r="C12" s="241"/>
      <c r="E12" t="s">
        <v>767</v>
      </c>
    </row>
    <row r="13" spans="1:5" x14ac:dyDescent="0.25">
      <c r="A13" s="203" t="s">
        <v>98</v>
      </c>
      <c r="B13" s="241">
        <v>26000</v>
      </c>
      <c r="C13" s="241"/>
      <c r="E13" t="s">
        <v>293</v>
      </c>
    </row>
    <row r="14" spans="1:5" x14ac:dyDescent="0.25">
      <c r="A14" s="203" t="s">
        <v>99</v>
      </c>
      <c r="B14" s="241"/>
      <c r="C14" s="241"/>
      <c r="E14" t="s">
        <v>371</v>
      </c>
    </row>
    <row r="15" spans="1:5" x14ac:dyDescent="0.25">
      <c r="A15" s="203" t="s">
        <v>100</v>
      </c>
      <c r="B15" s="241">
        <v>11000</v>
      </c>
      <c r="C15" s="241"/>
    </row>
    <row r="16" spans="1:5" x14ac:dyDescent="0.25">
      <c r="A16" s="203" t="s">
        <v>101</v>
      </c>
      <c r="B16" s="241">
        <v>16000</v>
      </c>
      <c r="C16" s="241"/>
    </row>
    <row r="17" spans="1:4" x14ac:dyDescent="0.25">
      <c r="A17" s="242" t="s">
        <v>102</v>
      </c>
      <c r="B17" s="370">
        <v>15000</v>
      </c>
      <c r="C17" s="375">
        <f>SUM(B9:B17)</f>
        <v>218500</v>
      </c>
      <c r="D17" s="371">
        <f>C17/C30</f>
        <v>0.73805100489782127</v>
      </c>
    </row>
    <row r="18" spans="1:4" x14ac:dyDescent="0.25">
      <c r="A18" s="203"/>
      <c r="B18" s="241"/>
      <c r="C18" s="241"/>
      <c r="D18" s="372"/>
    </row>
    <row r="19" spans="1:4" x14ac:dyDescent="0.25">
      <c r="A19" s="240" t="s">
        <v>103</v>
      </c>
      <c r="B19" s="241"/>
      <c r="C19" s="241"/>
      <c r="D19" s="372"/>
    </row>
    <row r="20" spans="1:4" x14ac:dyDescent="0.25">
      <c r="A20" s="203" t="s">
        <v>104</v>
      </c>
      <c r="B20" s="241"/>
      <c r="C20" s="241"/>
      <c r="D20" s="372"/>
    </row>
    <row r="21" spans="1:4" x14ac:dyDescent="0.25">
      <c r="A21" s="203" t="s">
        <v>105</v>
      </c>
      <c r="B21" s="241">
        <v>30700</v>
      </c>
      <c r="C21" s="241"/>
      <c r="D21" s="372"/>
    </row>
    <row r="22" spans="1:4" x14ac:dyDescent="0.25">
      <c r="A22" s="203" t="s">
        <v>106</v>
      </c>
      <c r="B22" s="241">
        <v>12500</v>
      </c>
      <c r="C22" s="241"/>
      <c r="D22" s="372"/>
    </row>
    <row r="23" spans="1:4" x14ac:dyDescent="0.25">
      <c r="A23" s="203" t="s">
        <v>107</v>
      </c>
      <c r="B23" s="241">
        <v>8000</v>
      </c>
      <c r="C23" s="241"/>
      <c r="D23" s="372"/>
    </row>
    <row r="24" spans="1:4" x14ac:dyDescent="0.25">
      <c r="A24" s="203" t="s">
        <v>108</v>
      </c>
      <c r="B24" s="241">
        <v>16500</v>
      </c>
      <c r="C24" s="241"/>
      <c r="D24" s="372"/>
    </row>
    <row r="25" spans="1:4" x14ac:dyDescent="0.25">
      <c r="A25" s="203" t="s">
        <v>109</v>
      </c>
      <c r="B25" s="241">
        <v>750</v>
      </c>
      <c r="C25" s="241"/>
      <c r="D25" s="372"/>
    </row>
    <row r="26" spans="1:4" x14ac:dyDescent="0.25">
      <c r="A26" s="203" t="s">
        <v>110</v>
      </c>
      <c r="B26" s="241"/>
      <c r="C26" s="241"/>
      <c r="D26" s="372"/>
    </row>
    <row r="27" spans="1:4" x14ac:dyDescent="0.25">
      <c r="A27" s="203" t="s">
        <v>111</v>
      </c>
      <c r="B27" s="241">
        <v>7500</v>
      </c>
      <c r="C27" s="241"/>
      <c r="D27" s="372"/>
    </row>
    <row r="28" spans="1:4" x14ac:dyDescent="0.25">
      <c r="A28" s="242" t="s">
        <v>112</v>
      </c>
      <c r="B28" s="370">
        <v>1600</v>
      </c>
      <c r="C28" s="375">
        <f>SUM(B21:B28)</f>
        <v>77550</v>
      </c>
      <c r="D28" s="371">
        <f>C28/C30</f>
        <v>0.26194899510217867</v>
      </c>
    </row>
    <row r="29" spans="1:4" x14ac:dyDescent="0.25">
      <c r="A29" s="203"/>
      <c r="B29" s="241"/>
      <c r="C29" s="241"/>
    </row>
    <row r="30" spans="1:4" x14ac:dyDescent="0.25">
      <c r="A30" s="210" t="s">
        <v>113</v>
      </c>
      <c r="B30" s="241"/>
      <c r="C30" s="374">
        <f>SUM(C28,C17)</f>
        <v>296050</v>
      </c>
    </row>
    <row r="31" spans="1:4" x14ac:dyDescent="0.25">
      <c r="A31" s="203"/>
      <c r="B31" s="241"/>
      <c r="C31" s="241"/>
    </row>
    <row r="32" spans="1:4" x14ac:dyDescent="0.25">
      <c r="A32" s="210" t="s">
        <v>114</v>
      </c>
      <c r="B32" s="69"/>
      <c r="C32" s="241"/>
    </row>
    <row r="33" spans="1:3" x14ac:dyDescent="0.25">
      <c r="A33" s="203"/>
      <c r="B33" s="69"/>
      <c r="C33" s="241"/>
    </row>
    <row r="34" spans="1:3" x14ac:dyDescent="0.25">
      <c r="A34" s="240" t="s">
        <v>115</v>
      </c>
      <c r="B34" s="69"/>
      <c r="C34" s="241"/>
    </row>
    <row r="35" spans="1:3" x14ac:dyDescent="0.25">
      <c r="A35" s="203" t="s">
        <v>116</v>
      </c>
      <c r="B35" s="69">
        <v>110000</v>
      </c>
      <c r="C35" s="241"/>
    </row>
    <row r="36" spans="1:3" x14ac:dyDescent="0.25">
      <c r="A36" s="203" t="s">
        <v>117</v>
      </c>
      <c r="B36" s="69">
        <v>32000</v>
      </c>
      <c r="C36" s="374">
        <f>SUM(B35:B36)</f>
        <v>142000</v>
      </c>
    </row>
    <row r="37" spans="1:3" x14ac:dyDescent="0.25">
      <c r="B37" s="69"/>
      <c r="C37" s="241"/>
    </row>
    <row r="38" spans="1:3" x14ac:dyDescent="0.25">
      <c r="A38" s="240" t="s">
        <v>118</v>
      </c>
      <c r="B38" s="69"/>
      <c r="C38" s="241"/>
    </row>
    <row r="39" spans="1:3" x14ac:dyDescent="0.25">
      <c r="A39" s="203" t="s">
        <v>119</v>
      </c>
      <c r="B39" s="69">
        <v>19500</v>
      </c>
      <c r="C39" s="241"/>
    </row>
    <row r="40" spans="1:3" x14ac:dyDescent="0.25">
      <c r="A40" s="242" t="s">
        <v>120</v>
      </c>
      <c r="B40" s="373">
        <v>900</v>
      </c>
      <c r="C40" s="375">
        <f>SUM(B39:B40)</f>
        <v>20400</v>
      </c>
    </row>
    <row r="41" spans="1:3" x14ac:dyDescent="0.25">
      <c r="B41" s="69"/>
      <c r="C41" s="241"/>
    </row>
    <row r="42" spans="1:3" x14ac:dyDescent="0.25">
      <c r="A42" s="210" t="s">
        <v>121</v>
      </c>
      <c r="B42" s="69"/>
      <c r="C42" s="374">
        <f>SUM(C40,C36)</f>
        <v>162400</v>
      </c>
    </row>
    <row r="43" spans="1:3" x14ac:dyDescent="0.25">
      <c r="B43" s="69"/>
      <c r="C43" s="241"/>
    </row>
    <row r="44" spans="1:3" x14ac:dyDescent="0.25">
      <c r="A44" s="210" t="s">
        <v>122</v>
      </c>
      <c r="B44" s="69"/>
      <c r="C44" s="241"/>
    </row>
    <row r="45" spans="1:3" x14ac:dyDescent="0.25">
      <c r="A45" s="210"/>
      <c r="B45" s="69"/>
      <c r="C45" s="241"/>
    </row>
    <row r="46" spans="1:3" x14ac:dyDescent="0.25">
      <c r="A46" s="203" t="s">
        <v>123</v>
      </c>
      <c r="B46" s="69"/>
      <c r="C46" s="374">
        <f>C30</f>
        <v>296050</v>
      </c>
    </row>
    <row r="47" spans="1:3" x14ac:dyDescent="0.25">
      <c r="A47" s="242" t="s">
        <v>124</v>
      </c>
      <c r="B47" s="373"/>
      <c r="C47" s="375">
        <f>C42</f>
        <v>162400</v>
      </c>
    </row>
    <row r="48" spans="1:3" x14ac:dyDescent="0.25">
      <c r="B48" s="69"/>
      <c r="C48" s="241"/>
    </row>
    <row r="49" spans="1:3" x14ac:dyDescent="0.25">
      <c r="A49" s="210" t="s">
        <v>125</v>
      </c>
      <c r="B49" s="69"/>
      <c r="C49" s="374">
        <f>C46-C47</f>
        <v>133650</v>
      </c>
    </row>
  </sheetData>
  <mergeCells count="1">
    <mergeCell ref="A3:C3"/>
  </mergeCells>
  <pageMargins left="0.7" right="0.7" top="0.78740157499999996" bottom="0.78740157499999996" header="0.3" footer="0.3"/>
  <pageSetup paperSize="9" scale="98"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37"/>
  <sheetViews>
    <sheetView zoomScaleNormal="100" workbookViewId="0"/>
  </sheetViews>
  <sheetFormatPr baseColWidth="10" defaultColWidth="11.42578125" defaultRowHeight="15" x14ac:dyDescent="0.25"/>
  <cols>
    <col min="1" max="1" width="13" customWidth="1"/>
    <col min="8" max="8" width="12.5703125" customWidth="1"/>
  </cols>
  <sheetData>
    <row r="1" spans="1:9" ht="21" x14ac:dyDescent="0.35">
      <c r="A1" s="162" t="s">
        <v>294</v>
      </c>
      <c r="C1" s="618" t="s">
        <v>1301</v>
      </c>
      <c r="D1" s="615"/>
      <c r="E1" s="615"/>
    </row>
    <row r="3" spans="1:9" x14ac:dyDescent="0.25">
      <c r="A3" s="300" t="s">
        <v>770</v>
      </c>
    </row>
    <row r="4" spans="1:9" x14ac:dyDescent="0.25">
      <c r="A4" t="s">
        <v>295</v>
      </c>
    </row>
    <row r="6" spans="1:9" x14ac:dyDescent="0.25">
      <c r="B6" t="s">
        <v>296</v>
      </c>
      <c r="C6" t="s">
        <v>297</v>
      </c>
      <c r="D6" t="s">
        <v>135</v>
      </c>
      <c r="E6" t="s">
        <v>260</v>
      </c>
      <c r="F6" t="s">
        <v>261</v>
      </c>
      <c r="G6" t="s">
        <v>298</v>
      </c>
      <c r="H6" t="s">
        <v>299</v>
      </c>
      <c r="I6" t="s">
        <v>78</v>
      </c>
    </row>
    <row r="7" spans="1:9" x14ac:dyDescent="0.25">
      <c r="A7" t="s">
        <v>774</v>
      </c>
      <c r="B7" s="380">
        <v>3217</v>
      </c>
      <c r="C7" s="380">
        <v>3259</v>
      </c>
      <c r="D7" s="380">
        <v>3289</v>
      </c>
      <c r="E7" s="380">
        <v>3334</v>
      </c>
      <c r="F7" s="380">
        <v>2823</v>
      </c>
      <c r="G7" s="380">
        <v>3239</v>
      </c>
      <c r="I7" s="186">
        <v>3.99</v>
      </c>
    </row>
    <row r="8" spans="1:9" x14ac:dyDescent="0.25">
      <c r="A8" t="s">
        <v>775</v>
      </c>
      <c r="B8" s="380">
        <v>1460</v>
      </c>
      <c r="C8" s="380">
        <v>1163</v>
      </c>
      <c r="D8" s="380">
        <v>1458</v>
      </c>
      <c r="E8" s="380">
        <v>1373</v>
      </c>
      <c r="F8" s="380">
        <v>1170</v>
      </c>
      <c r="G8" s="380">
        <v>1823</v>
      </c>
      <c r="I8" s="186">
        <v>5.12</v>
      </c>
    </row>
    <row r="9" spans="1:9" x14ac:dyDescent="0.25">
      <c r="A9" t="s">
        <v>776</v>
      </c>
      <c r="B9" s="380">
        <v>4573</v>
      </c>
      <c r="C9" s="380">
        <v>4930</v>
      </c>
      <c r="D9" s="380">
        <v>4763</v>
      </c>
      <c r="E9" s="380">
        <v>4582</v>
      </c>
      <c r="F9" s="380">
        <v>4818</v>
      </c>
      <c r="G9" s="380">
        <v>4947</v>
      </c>
      <c r="I9" s="186">
        <v>2.78</v>
      </c>
    </row>
    <row r="11" spans="1:9" x14ac:dyDescent="0.25">
      <c r="A11" t="s">
        <v>45</v>
      </c>
    </row>
    <row r="13" spans="1:9" x14ac:dyDescent="0.25">
      <c r="A13" t="s">
        <v>372</v>
      </c>
    </row>
    <row r="14" spans="1:9" x14ac:dyDescent="0.25">
      <c r="A14" t="s">
        <v>771</v>
      </c>
    </row>
    <row r="15" spans="1:9" ht="30" customHeight="1" x14ac:dyDescent="0.25">
      <c r="A15" s="661" t="s">
        <v>777</v>
      </c>
      <c r="B15" s="661"/>
      <c r="C15" s="661"/>
      <c r="D15" s="661"/>
      <c r="E15" s="661"/>
      <c r="F15" s="661"/>
      <c r="G15" s="661"/>
      <c r="H15" s="661"/>
      <c r="I15" s="661"/>
    </row>
    <row r="16" spans="1:9" x14ac:dyDescent="0.25">
      <c r="A16" t="s">
        <v>373</v>
      </c>
    </row>
    <row r="17" spans="1:10" x14ac:dyDescent="0.25">
      <c r="A17" s="9" t="s">
        <v>374</v>
      </c>
    </row>
    <row r="18" spans="1:10" x14ac:dyDescent="0.25">
      <c r="A18" s="9" t="s">
        <v>375</v>
      </c>
    </row>
    <row r="19" spans="1:10" x14ac:dyDescent="0.25">
      <c r="A19" s="9" t="s">
        <v>599</v>
      </c>
    </row>
    <row r="20" spans="1:10" ht="30" customHeight="1" x14ac:dyDescent="0.25">
      <c r="A20" s="642" t="s">
        <v>778</v>
      </c>
      <c r="B20" s="663"/>
      <c r="C20" s="663"/>
      <c r="D20" s="663"/>
      <c r="E20" s="663"/>
      <c r="F20" s="663"/>
      <c r="G20" s="663"/>
      <c r="H20" s="663"/>
      <c r="I20" s="663"/>
    </row>
    <row r="21" spans="1:10" x14ac:dyDescent="0.25">
      <c r="A21" s="9" t="s">
        <v>376</v>
      </c>
    </row>
    <row r="22" spans="1:10" x14ac:dyDescent="0.25">
      <c r="A22" s="9" t="s">
        <v>608</v>
      </c>
    </row>
    <row r="23" spans="1:10" x14ac:dyDescent="0.25">
      <c r="A23" t="s">
        <v>377</v>
      </c>
    </row>
    <row r="24" spans="1:10" ht="15.75" thickBot="1" x14ac:dyDescent="0.3"/>
    <row r="25" spans="1:10" x14ac:dyDescent="0.25">
      <c r="A25" s="103"/>
      <c r="B25" s="104"/>
      <c r="C25" s="104"/>
      <c r="D25" s="104"/>
      <c r="E25" s="105"/>
      <c r="F25" s="103"/>
      <c r="G25" s="104"/>
      <c r="H25" s="104"/>
      <c r="I25" s="104"/>
      <c r="J25" s="105"/>
    </row>
    <row r="26" spans="1:10" x14ac:dyDescent="0.25">
      <c r="A26" s="378"/>
      <c r="E26" s="107"/>
      <c r="F26" s="106"/>
      <c r="J26" s="107"/>
    </row>
    <row r="27" spans="1:10" x14ac:dyDescent="0.25">
      <c r="A27" s="106"/>
      <c r="E27" s="107"/>
      <c r="F27" s="106"/>
      <c r="J27" s="107"/>
    </row>
    <row r="28" spans="1:10" x14ac:dyDescent="0.25">
      <c r="A28" s="106"/>
      <c r="E28" s="107"/>
      <c r="F28" s="106"/>
      <c r="J28" s="107"/>
    </row>
    <row r="29" spans="1:10" x14ac:dyDescent="0.25">
      <c r="A29" s="106"/>
      <c r="E29" s="107"/>
      <c r="F29" s="106"/>
      <c r="J29" s="107"/>
    </row>
    <row r="30" spans="1:10" x14ac:dyDescent="0.25">
      <c r="A30" s="106"/>
      <c r="E30" s="107"/>
      <c r="F30" s="106"/>
      <c r="J30" s="107"/>
    </row>
    <row r="31" spans="1:10" x14ac:dyDescent="0.25">
      <c r="A31" s="106"/>
      <c r="C31" s="10" t="s">
        <v>772</v>
      </c>
      <c r="D31" s="10"/>
      <c r="E31" s="379"/>
      <c r="F31" s="150"/>
      <c r="G31" s="10"/>
      <c r="H31" s="10" t="s">
        <v>773</v>
      </c>
      <c r="J31" s="107"/>
    </row>
    <row r="32" spans="1:10" x14ac:dyDescent="0.25">
      <c r="A32" s="106"/>
      <c r="C32" s="10"/>
      <c r="D32" s="10"/>
      <c r="E32" s="379"/>
      <c r="F32" s="150"/>
      <c r="G32" s="10"/>
      <c r="H32" s="10"/>
      <c r="J32" s="107"/>
    </row>
    <row r="33" spans="1:10" x14ac:dyDescent="0.25">
      <c r="A33" s="106"/>
      <c r="E33" s="107"/>
      <c r="F33" s="106"/>
      <c r="J33" s="107"/>
    </row>
    <row r="34" spans="1:10" x14ac:dyDescent="0.25">
      <c r="A34" s="106"/>
      <c r="E34" s="107"/>
      <c r="F34" s="106"/>
      <c r="J34" s="107"/>
    </row>
    <row r="35" spans="1:10" x14ac:dyDescent="0.25">
      <c r="A35" s="106"/>
      <c r="E35" s="107"/>
      <c r="F35" s="106"/>
      <c r="J35" s="107"/>
    </row>
    <row r="36" spans="1:10" x14ac:dyDescent="0.25">
      <c r="A36" s="106"/>
      <c r="E36" s="107"/>
      <c r="F36" s="106"/>
      <c r="J36" s="107"/>
    </row>
    <row r="37" spans="1:10" ht="15.75" thickBot="1" x14ac:dyDescent="0.3">
      <c r="A37" s="108"/>
      <c r="B37" s="109"/>
      <c r="C37" s="109"/>
      <c r="D37" s="109"/>
      <c r="E37" s="110"/>
      <c r="F37" s="108"/>
      <c r="G37" s="109"/>
      <c r="H37" s="109"/>
      <c r="I37" s="109"/>
      <c r="J37" s="110"/>
    </row>
  </sheetData>
  <mergeCells count="2">
    <mergeCell ref="A15:I15"/>
    <mergeCell ref="A20:I20"/>
  </mergeCells>
  <pageMargins left="0.70866141732283472" right="0.70866141732283472" top="0.78740157480314965" bottom="0.78740157480314965" header="0.31496062992125984" footer="0.31496062992125984"/>
  <pageSetup paperSize="9" scale="8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43"/>
  <sheetViews>
    <sheetView workbookViewId="0"/>
  </sheetViews>
  <sheetFormatPr baseColWidth="10" defaultRowHeight="15" x14ac:dyDescent="0.25"/>
  <sheetData>
    <row r="1" spans="1:18" ht="21" x14ac:dyDescent="0.35">
      <c r="A1" s="162" t="s">
        <v>294</v>
      </c>
      <c r="C1" s="618" t="s">
        <v>1302</v>
      </c>
      <c r="D1" s="615"/>
      <c r="E1" s="615"/>
    </row>
    <row r="3" spans="1:18" ht="18.75" x14ac:dyDescent="0.3">
      <c r="A3" s="664" t="s">
        <v>770</v>
      </c>
      <c r="B3" s="664"/>
      <c r="C3" s="664"/>
      <c r="D3" s="664"/>
      <c r="E3" s="664"/>
      <c r="F3" s="664"/>
      <c r="G3" s="664"/>
      <c r="H3" s="664"/>
      <c r="I3" s="664"/>
      <c r="J3" s="664"/>
    </row>
    <row r="4" spans="1:18" x14ac:dyDescent="0.25">
      <c r="A4" t="s">
        <v>295</v>
      </c>
    </row>
    <row r="6" spans="1:18" x14ac:dyDescent="0.25">
      <c r="B6" s="67" t="s">
        <v>296</v>
      </c>
      <c r="C6" s="67" t="s">
        <v>297</v>
      </c>
      <c r="D6" s="67" t="s">
        <v>135</v>
      </c>
      <c r="E6" s="67" t="s">
        <v>260</v>
      </c>
      <c r="F6" s="67" t="s">
        <v>261</v>
      </c>
      <c r="G6" s="67" t="s">
        <v>298</v>
      </c>
      <c r="H6" s="67" t="s">
        <v>299</v>
      </c>
      <c r="I6" s="67" t="s">
        <v>78</v>
      </c>
      <c r="J6" s="67" t="s">
        <v>351</v>
      </c>
      <c r="K6" s="67" t="s">
        <v>598</v>
      </c>
    </row>
    <row r="7" spans="1:18" x14ac:dyDescent="0.25">
      <c r="A7" t="s">
        <v>774</v>
      </c>
      <c r="B7" s="119">
        <v>3217</v>
      </c>
      <c r="C7" s="119">
        <v>3259</v>
      </c>
      <c r="D7" s="119">
        <v>3289</v>
      </c>
      <c r="E7" s="119">
        <v>3334</v>
      </c>
      <c r="F7" s="119">
        <v>2823</v>
      </c>
      <c r="G7" s="119">
        <v>3239</v>
      </c>
      <c r="H7" s="120">
        <f>SUM(B7:G7)</f>
        <v>19161</v>
      </c>
      <c r="I7" s="382">
        <v>3.99</v>
      </c>
      <c r="J7" s="121">
        <f>+I7*H7</f>
        <v>76452.39</v>
      </c>
      <c r="K7" s="66">
        <f>+J7/$J$11</f>
        <v>0.38371012958557543</v>
      </c>
    </row>
    <row r="8" spans="1:18" x14ac:dyDescent="0.25">
      <c r="A8" t="s">
        <v>775</v>
      </c>
      <c r="B8" s="119">
        <v>1460</v>
      </c>
      <c r="C8" s="119">
        <v>1163</v>
      </c>
      <c r="D8" s="119">
        <v>1458</v>
      </c>
      <c r="E8" s="119">
        <v>1373</v>
      </c>
      <c r="F8" s="119">
        <v>1170</v>
      </c>
      <c r="G8" s="119">
        <v>1823</v>
      </c>
      <c r="H8" s="120">
        <f t="shared" ref="H8:H9" si="0">SUM(B8:G8)</f>
        <v>8447</v>
      </c>
      <c r="I8" s="382">
        <v>5.12</v>
      </c>
      <c r="J8" s="121">
        <f t="shared" ref="J8:J9" si="1">+I8*H8</f>
        <v>43248.639999999999</v>
      </c>
      <c r="K8" s="66">
        <f t="shared" ref="K8:K9" si="2">+J8/$J$11</f>
        <v>0.21706242615567545</v>
      </c>
    </row>
    <row r="9" spans="1:18" x14ac:dyDescent="0.25">
      <c r="A9" t="s">
        <v>776</v>
      </c>
      <c r="B9" s="119">
        <v>4573</v>
      </c>
      <c r="C9" s="119">
        <v>4930</v>
      </c>
      <c r="D9" s="119">
        <v>4763</v>
      </c>
      <c r="E9" s="119">
        <v>4582</v>
      </c>
      <c r="F9" s="119">
        <v>4818</v>
      </c>
      <c r="G9" s="119">
        <v>4947</v>
      </c>
      <c r="H9" s="120">
        <f t="shared" si="0"/>
        <v>28613</v>
      </c>
      <c r="I9" s="382">
        <v>2.78</v>
      </c>
      <c r="J9" s="121">
        <f t="shared" si="1"/>
        <v>79544.14</v>
      </c>
      <c r="K9" s="66">
        <f t="shared" si="2"/>
        <v>0.39922744425874918</v>
      </c>
    </row>
    <row r="10" spans="1:18" x14ac:dyDescent="0.25">
      <c r="I10" s="383"/>
      <c r="M10" s="119"/>
      <c r="N10" s="119"/>
      <c r="O10" s="119"/>
      <c r="P10" s="119"/>
      <c r="Q10" s="119"/>
      <c r="R10" s="119"/>
    </row>
    <row r="11" spans="1:18" x14ac:dyDescent="0.25">
      <c r="A11" t="s">
        <v>45</v>
      </c>
      <c r="B11" s="119">
        <f>SUM(B7:B9)</f>
        <v>9250</v>
      </c>
      <c r="C11" s="119">
        <f t="shared" ref="C11:K11" si="3">SUM(C7:C9)</f>
        <v>9352</v>
      </c>
      <c r="D11" s="119">
        <f t="shared" si="3"/>
        <v>9510</v>
      </c>
      <c r="E11" s="119">
        <f t="shared" si="3"/>
        <v>9289</v>
      </c>
      <c r="F11" s="119">
        <f t="shared" si="3"/>
        <v>8811</v>
      </c>
      <c r="G11" s="119">
        <f t="shared" si="3"/>
        <v>10009</v>
      </c>
      <c r="H11" s="120">
        <f t="shared" si="3"/>
        <v>56221</v>
      </c>
      <c r="I11" s="382">
        <f t="shared" si="3"/>
        <v>11.889999999999999</v>
      </c>
      <c r="J11" s="121">
        <f t="shared" si="3"/>
        <v>199245.16999999998</v>
      </c>
      <c r="K11" s="66">
        <f t="shared" si="3"/>
        <v>1</v>
      </c>
      <c r="M11" s="119"/>
      <c r="N11" s="55"/>
      <c r="O11" s="119"/>
      <c r="P11" s="119"/>
      <c r="Q11" s="119"/>
      <c r="R11" s="119"/>
    </row>
    <row r="12" spans="1:18" x14ac:dyDescent="0.25">
      <c r="M12" s="119"/>
      <c r="N12" s="119"/>
      <c r="O12" s="119"/>
      <c r="P12" s="119"/>
      <c r="Q12" s="119"/>
      <c r="R12" s="119"/>
    </row>
    <row r="13" spans="1:18" x14ac:dyDescent="0.25">
      <c r="A13" t="s">
        <v>372</v>
      </c>
    </row>
    <row r="14" spans="1:18" x14ac:dyDescent="0.25">
      <c r="A14" t="s">
        <v>771</v>
      </c>
    </row>
    <row r="15" spans="1:18" ht="30" customHeight="1" x14ac:dyDescent="0.25">
      <c r="A15" s="661" t="s">
        <v>777</v>
      </c>
      <c r="B15" s="661"/>
      <c r="C15" s="661"/>
      <c r="D15" s="661"/>
      <c r="E15" s="661"/>
      <c r="F15" s="661"/>
      <c r="G15" s="661"/>
      <c r="H15" s="661"/>
      <c r="I15" s="661"/>
    </row>
    <row r="16" spans="1:18" x14ac:dyDescent="0.25">
      <c r="A16" t="s">
        <v>373</v>
      </c>
    </row>
    <row r="17" spans="1:9" x14ac:dyDescent="0.25">
      <c r="A17" s="9" t="s">
        <v>374</v>
      </c>
    </row>
    <row r="18" spans="1:9" x14ac:dyDescent="0.25">
      <c r="A18" s="9" t="s">
        <v>375</v>
      </c>
    </row>
    <row r="19" spans="1:9" x14ac:dyDescent="0.25">
      <c r="A19" s="9" t="s">
        <v>599</v>
      </c>
    </row>
    <row r="20" spans="1:9" ht="30" customHeight="1" x14ac:dyDescent="0.25">
      <c r="A20" s="642" t="s">
        <v>778</v>
      </c>
      <c r="B20" s="663"/>
      <c r="C20" s="663"/>
      <c r="D20" s="663"/>
      <c r="E20" s="663"/>
      <c r="F20" s="663"/>
      <c r="G20" s="663"/>
      <c r="H20" s="663"/>
      <c r="I20" s="663"/>
    </row>
    <row r="21" spans="1:9" x14ac:dyDescent="0.25">
      <c r="A21" s="9" t="s">
        <v>376</v>
      </c>
    </row>
    <row r="22" spans="1:9" x14ac:dyDescent="0.25">
      <c r="A22" s="9" t="s">
        <v>608</v>
      </c>
    </row>
    <row r="23" spans="1:9" x14ac:dyDescent="0.25">
      <c r="A23" t="s">
        <v>377</v>
      </c>
    </row>
    <row r="40" spans="1:1" x14ac:dyDescent="0.25">
      <c r="A40" s="10" t="s">
        <v>600</v>
      </c>
    </row>
    <row r="41" spans="1:1" x14ac:dyDescent="0.25">
      <c r="A41" t="s">
        <v>601</v>
      </c>
    </row>
    <row r="42" spans="1:1" x14ac:dyDescent="0.25">
      <c r="A42" t="s">
        <v>602</v>
      </c>
    </row>
    <row r="43" spans="1:1" x14ac:dyDescent="0.25">
      <c r="A43" t="s">
        <v>603</v>
      </c>
    </row>
  </sheetData>
  <mergeCells count="3">
    <mergeCell ref="A3:J3"/>
    <mergeCell ref="A15:I15"/>
    <mergeCell ref="A20:I20"/>
  </mergeCells>
  <pageMargins left="0.7" right="0.7" top="0.78740157499999996" bottom="0.78740157499999996"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43"/>
  <sheetViews>
    <sheetView zoomScaleNormal="100" workbookViewId="0"/>
  </sheetViews>
  <sheetFormatPr baseColWidth="10" defaultColWidth="11.42578125" defaultRowHeight="15" x14ac:dyDescent="0.25"/>
  <cols>
    <col min="1" max="1" width="14.42578125" customWidth="1"/>
    <col min="2" max="2" width="18.140625" customWidth="1"/>
  </cols>
  <sheetData>
    <row r="1" spans="1:7" ht="21" x14ac:dyDescent="0.35">
      <c r="A1" s="162" t="s">
        <v>300</v>
      </c>
      <c r="C1" s="618" t="s">
        <v>1301</v>
      </c>
      <c r="D1" s="615"/>
      <c r="E1" s="615"/>
    </row>
    <row r="3" spans="1:7" x14ac:dyDescent="0.25">
      <c r="A3" s="300" t="s">
        <v>1186</v>
      </c>
    </row>
    <row r="6" spans="1:7" x14ac:dyDescent="0.25">
      <c r="B6" t="s">
        <v>782</v>
      </c>
      <c r="C6" t="s">
        <v>301</v>
      </c>
      <c r="D6" t="s">
        <v>302</v>
      </c>
      <c r="E6" t="s">
        <v>484</v>
      </c>
      <c r="F6" t="s">
        <v>303</v>
      </c>
      <c r="G6" t="s">
        <v>487</v>
      </c>
    </row>
    <row r="7" spans="1:7" x14ac:dyDescent="0.25">
      <c r="A7" t="s">
        <v>296</v>
      </c>
      <c r="B7">
        <v>4.3</v>
      </c>
      <c r="C7">
        <v>2.4</v>
      </c>
      <c r="D7">
        <v>2.9</v>
      </c>
      <c r="E7">
        <v>9.6</v>
      </c>
      <c r="F7">
        <v>4.1999999999999993</v>
      </c>
      <c r="G7">
        <v>1.4000000000000001</v>
      </c>
    </row>
    <row r="8" spans="1:7" x14ac:dyDescent="0.25">
      <c r="A8" t="s">
        <v>297</v>
      </c>
      <c r="B8">
        <v>4.4000000000000004</v>
      </c>
      <c r="C8">
        <v>2.8</v>
      </c>
      <c r="D8">
        <v>2.1999999999999997</v>
      </c>
      <c r="E8">
        <v>8.6</v>
      </c>
      <c r="F8">
        <v>5.3000000000000007</v>
      </c>
      <c r="G8">
        <v>3</v>
      </c>
    </row>
    <row r="9" spans="1:7" x14ac:dyDescent="0.25">
      <c r="A9" t="s">
        <v>135</v>
      </c>
      <c r="B9">
        <v>4.2</v>
      </c>
      <c r="C9">
        <v>4.3</v>
      </c>
      <c r="D9">
        <v>2.3000000000000003</v>
      </c>
      <c r="E9">
        <v>9</v>
      </c>
      <c r="F9">
        <v>5.1000000000000005</v>
      </c>
      <c r="G9">
        <v>1.7</v>
      </c>
    </row>
    <row r="10" spans="1:7" x14ac:dyDescent="0.25">
      <c r="A10" t="s">
        <v>260</v>
      </c>
      <c r="B10">
        <v>3.7</v>
      </c>
      <c r="C10">
        <v>2.6</v>
      </c>
      <c r="D10">
        <v>2.5</v>
      </c>
      <c r="E10">
        <v>8</v>
      </c>
      <c r="F10">
        <v>2.2000000000000002</v>
      </c>
      <c r="G10">
        <v>1.1000000000000001</v>
      </c>
    </row>
    <row r="11" spans="1:7" x14ac:dyDescent="0.25">
      <c r="A11" t="s">
        <v>261</v>
      </c>
      <c r="B11">
        <v>1.6</v>
      </c>
      <c r="C11">
        <v>1.8</v>
      </c>
      <c r="D11">
        <v>1.5</v>
      </c>
      <c r="E11">
        <v>7.8999999999999995</v>
      </c>
      <c r="F11">
        <v>2.0999999999999996</v>
      </c>
      <c r="G11">
        <v>1.4000000000000001</v>
      </c>
    </row>
    <row r="12" spans="1:7" x14ac:dyDescent="0.25">
      <c r="A12" t="s">
        <v>298</v>
      </c>
      <c r="B12">
        <v>1.7</v>
      </c>
      <c r="C12">
        <v>2.1999999999999997</v>
      </c>
      <c r="D12">
        <v>1.4000000000000001</v>
      </c>
      <c r="E12">
        <v>8.1</v>
      </c>
      <c r="F12">
        <v>1.8</v>
      </c>
      <c r="G12">
        <v>1.7</v>
      </c>
    </row>
    <row r="13" spans="1:7" x14ac:dyDescent="0.25">
      <c r="A13" t="s">
        <v>304</v>
      </c>
      <c r="B13">
        <v>1.2000000000000002</v>
      </c>
      <c r="C13">
        <v>1.5</v>
      </c>
      <c r="D13">
        <v>1.4000000000000001</v>
      </c>
      <c r="E13">
        <v>7.8</v>
      </c>
      <c r="F13">
        <v>3.2</v>
      </c>
      <c r="G13">
        <v>1.8</v>
      </c>
    </row>
    <row r="14" spans="1:7" x14ac:dyDescent="0.25">
      <c r="A14" t="s">
        <v>305</v>
      </c>
      <c r="B14">
        <v>1.5</v>
      </c>
      <c r="C14">
        <v>1.3</v>
      </c>
      <c r="D14">
        <v>0.30000000000000004</v>
      </c>
      <c r="E14">
        <v>8.1</v>
      </c>
      <c r="F14">
        <v>0.89999999999999991</v>
      </c>
      <c r="G14">
        <v>1.4</v>
      </c>
    </row>
    <row r="15" spans="1:7" x14ac:dyDescent="0.25">
      <c r="A15" t="s">
        <v>306</v>
      </c>
      <c r="B15">
        <v>2.2000000000000002</v>
      </c>
      <c r="C15">
        <v>2</v>
      </c>
      <c r="D15">
        <v>1.2000000000000002</v>
      </c>
      <c r="E15">
        <v>9.1999999999999993</v>
      </c>
      <c r="F15">
        <v>1.4000000000000001</v>
      </c>
      <c r="G15">
        <v>3.3000000000000003</v>
      </c>
    </row>
    <row r="16" spans="1:7" x14ac:dyDescent="0.25">
      <c r="A16" t="s">
        <v>307</v>
      </c>
      <c r="B16">
        <v>2.1</v>
      </c>
      <c r="C16">
        <v>2.2000000000000002</v>
      </c>
      <c r="D16">
        <v>2.1</v>
      </c>
      <c r="E16">
        <v>9.6999999999999993</v>
      </c>
      <c r="F16">
        <v>3.3000000000000003</v>
      </c>
      <c r="G16">
        <v>2.3000000000000003</v>
      </c>
    </row>
    <row r="17" spans="1:8" x14ac:dyDescent="0.25">
      <c r="A17" t="s">
        <v>308</v>
      </c>
      <c r="B17">
        <v>1.2</v>
      </c>
      <c r="C17">
        <v>2.5999999999999996</v>
      </c>
      <c r="D17">
        <v>1.5</v>
      </c>
      <c r="E17">
        <v>10.100000000000001</v>
      </c>
      <c r="F17">
        <v>2</v>
      </c>
      <c r="G17">
        <v>2.6999999999999997</v>
      </c>
    </row>
    <row r="18" spans="1:8" x14ac:dyDescent="0.25">
      <c r="A18" t="s">
        <v>309</v>
      </c>
      <c r="B18">
        <v>1</v>
      </c>
      <c r="C18">
        <v>2.5</v>
      </c>
      <c r="D18">
        <v>0.5</v>
      </c>
      <c r="E18">
        <v>10.8</v>
      </c>
      <c r="F18">
        <v>3</v>
      </c>
      <c r="G18">
        <v>1.8</v>
      </c>
    </row>
    <row r="21" spans="1:8" ht="45" customHeight="1" x14ac:dyDescent="0.25">
      <c r="A21" s="642" t="s">
        <v>779</v>
      </c>
      <c r="B21" s="642"/>
      <c r="C21" s="642"/>
      <c r="D21" s="642"/>
      <c r="E21" s="642"/>
      <c r="F21" s="642"/>
      <c r="G21" s="642"/>
    </row>
    <row r="22" spans="1:8" ht="60" customHeight="1" x14ac:dyDescent="0.25">
      <c r="A22" s="642" t="s">
        <v>781</v>
      </c>
      <c r="B22" s="642"/>
      <c r="C22" s="642"/>
      <c r="D22" s="642"/>
      <c r="E22" s="642"/>
      <c r="F22" s="642"/>
      <c r="G22" s="642"/>
    </row>
    <row r="23" spans="1:8" ht="75" customHeight="1" x14ac:dyDescent="0.25">
      <c r="A23" s="642" t="s">
        <v>780</v>
      </c>
      <c r="B23" s="642"/>
      <c r="C23" s="642"/>
      <c r="D23" s="642"/>
      <c r="E23" s="642"/>
      <c r="F23" s="642"/>
      <c r="G23" s="642"/>
    </row>
    <row r="24" spans="1:8" x14ac:dyDescent="0.25">
      <c r="A24" s="661" t="s">
        <v>378</v>
      </c>
      <c r="B24" s="661"/>
      <c r="C24" s="661"/>
      <c r="D24" s="661"/>
      <c r="E24" s="661"/>
      <c r="F24" s="661"/>
      <c r="G24" s="661"/>
    </row>
    <row r="26" spans="1:8" ht="15.75" thickBot="1" x14ac:dyDescent="0.3"/>
    <row r="27" spans="1:8" x14ac:dyDescent="0.25">
      <c r="A27" s="103"/>
      <c r="B27" s="104"/>
      <c r="C27" s="104"/>
      <c r="D27" s="104"/>
      <c r="E27" s="104"/>
      <c r="F27" s="104"/>
      <c r="G27" s="104"/>
      <c r="H27" s="105"/>
    </row>
    <row r="28" spans="1:8" x14ac:dyDescent="0.25">
      <c r="A28" s="106"/>
      <c r="H28" s="107"/>
    </row>
    <row r="29" spans="1:8" x14ac:dyDescent="0.25">
      <c r="A29" s="106"/>
      <c r="H29" s="107"/>
    </row>
    <row r="30" spans="1:8" x14ac:dyDescent="0.25">
      <c r="A30" s="106"/>
      <c r="H30" s="107"/>
    </row>
    <row r="31" spans="1:8" x14ac:dyDescent="0.25">
      <c r="A31" s="106"/>
      <c r="H31" s="107"/>
    </row>
    <row r="32" spans="1:8" x14ac:dyDescent="0.25">
      <c r="A32" s="106"/>
      <c r="H32" s="107"/>
    </row>
    <row r="33" spans="1:8" x14ac:dyDescent="0.25">
      <c r="A33" s="106"/>
      <c r="H33" s="107"/>
    </row>
    <row r="34" spans="1:8" x14ac:dyDescent="0.25">
      <c r="A34" s="106"/>
      <c r="C34" t="s">
        <v>783</v>
      </c>
      <c r="H34" s="107"/>
    </row>
    <row r="35" spans="1:8" x14ac:dyDescent="0.25">
      <c r="A35" s="106"/>
      <c r="H35" s="107"/>
    </row>
    <row r="36" spans="1:8" x14ac:dyDescent="0.25">
      <c r="A36" s="106"/>
      <c r="H36" s="107"/>
    </row>
    <row r="37" spans="1:8" x14ac:dyDescent="0.25">
      <c r="A37" s="106"/>
      <c r="H37" s="107"/>
    </row>
    <row r="38" spans="1:8" x14ac:dyDescent="0.25">
      <c r="A38" s="106"/>
      <c r="H38" s="107"/>
    </row>
    <row r="39" spans="1:8" x14ac:dyDescent="0.25">
      <c r="A39" s="106"/>
      <c r="H39" s="107"/>
    </row>
    <row r="40" spans="1:8" x14ac:dyDescent="0.25">
      <c r="A40" s="106"/>
      <c r="H40" s="107"/>
    </row>
    <row r="41" spans="1:8" x14ac:dyDescent="0.25">
      <c r="A41" s="106"/>
      <c r="H41" s="107"/>
    </row>
    <row r="42" spans="1:8" x14ac:dyDescent="0.25">
      <c r="A42" s="106"/>
      <c r="H42" s="107"/>
    </row>
    <row r="43" spans="1:8" ht="15.75" thickBot="1" x14ac:dyDescent="0.3">
      <c r="A43" s="108"/>
      <c r="B43" s="109"/>
      <c r="C43" s="109"/>
      <c r="D43" s="109"/>
      <c r="E43" s="109"/>
      <c r="F43" s="109"/>
      <c r="G43" s="109"/>
      <c r="H43" s="110"/>
    </row>
  </sheetData>
  <mergeCells count="4">
    <mergeCell ref="A21:G21"/>
    <mergeCell ref="A22:G22"/>
    <mergeCell ref="A23:G23"/>
    <mergeCell ref="A24:G24"/>
  </mergeCells>
  <pageMargins left="0.70866141732283472" right="0.70866141732283472" top="0.78740157480314965" bottom="0.78740157480314965" header="0.31496062992125984" footer="0.31496062992125984"/>
  <pageSetup paperSize="9" scale="86"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47"/>
  <sheetViews>
    <sheetView zoomScaleNormal="100" workbookViewId="0"/>
  </sheetViews>
  <sheetFormatPr baseColWidth="10" defaultRowHeight="15" x14ac:dyDescent="0.25"/>
  <cols>
    <col min="1" max="1" width="15.7109375" customWidth="1"/>
    <col min="2" max="2" width="14.140625" customWidth="1"/>
    <col min="5" max="5" width="17.7109375" customWidth="1"/>
  </cols>
  <sheetData>
    <row r="1" spans="1:8" ht="21" x14ac:dyDescent="0.35">
      <c r="A1" s="162" t="s">
        <v>300</v>
      </c>
      <c r="C1" s="618" t="s">
        <v>1302</v>
      </c>
      <c r="D1" s="615"/>
      <c r="E1" s="615"/>
    </row>
    <row r="3" spans="1:8" x14ac:dyDescent="0.25">
      <c r="A3" s="300" t="s">
        <v>1186</v>
      </c>
    </row>
    <row r="5" spans="1:8" ht="15.75" thickBot="1" x14ac:dyDescent="0.3"/>
    <row r="6" spans="1:8" x14ac:dyDescent="0.25">
      <c r="A6" s="81"/>
      <c r="B6" s="125" t="s">
        <v>782</v>
      </c>
      <c r="C6" s="125" t="s">
        <v>301</v>
      </c>
      <c r="D6" s="125" t="s">
        <v>302</v>
      </c>
      <c r="E6" s="125" t="s">
        <v>484</v>
      </c>
      <c r="F6" s="125" t="s">
        <v>303</v>
      </c>
      <c r="G6" s="125" t="s">
        <v>487</v>
      </c>
      <c r="H6" s="126" t="s">
        <v>45</v>
      </c>
    </row>
    <row r="7" spans="1:8" x14ac:dyDescent="0.25">
      <c r="A7" s="84" t="s">
        <v>296</v>
      </c>
      <c r="B7" s="39">
        <v>4.2</v>
      </c>
      <c r="C7" s="39">
        <v>2.1</v>
      </c>
      <c r="D7" s="39">
        <v>2.8</v>
      </c>
      <c r="E7" s="39">
        <v>9.3000000000000007</v>
      </c>
      <c r="F7" s="39">
        <v>4.0999999999999996</v>
      </c>
      <c r="G7" s="39">
        <v>1.3</v>
      </c>
      <c r="H7" s="127">
        <f>SUM(B7:G7)</f>
        <v>23.8</v>
      </c>
    </row>
    <row r="8" spans="1:8" x14ac:dyDescent="0.25">
      <c r="A8" s="84" t="s">
        <v>297</v>
      </c>
      <c r="B8" s="39">
        <v>4.7</v>
      </c>
      <c r="C8" s="39">
        <v>2.9</v>
      </c>
      <c r="D8" s="39">
        <v>2.2999999999999998</v>
      </c>
      <c r="E8" s="39">
        <v>8.6999999999999993</v>
      </c>
      <c r="F8" s="39">
        <v>5.4</v>
      </c>
      <c r="G8" s="39">
        <v>3.1</v>
      </c>
      <c r="H8" s="127">
        <f t="shared" ref="H8:H18" si="0">SUM(B8:G8)</f>
        <v>27.1</v>
      </c>
    </row>
    <row r="9" spans="1:8" x14ac:dyDescent="0.25">
      <c r="A9" s="84" t="s">
        <v>135</v>
      </c>
      <c r="B9" s="39">
        <v>4</v>
      </c>
      <c r="C9" s="39">
        <v>4.0999999999999996</v>
      </c>
      <c r="D9" s="39">
        <v>2.1</v>
      </c>
      <c r="E9" s="39">
        <v>8.8000000000000007</v>
      </c>
      <c r="F9" s="39">
        <v>4.9000000000000004</v>
      </c>
      <c r="G9" s="39">
        <v>1.5</v>
      </c>
      <c r="H9" s="127">
        <f t="shared" si="0"/>
        <v>25.4</v>
      </c>
    </row>
    <row r="10" spans="1:8" x14ac:dyDescent="0.25">
      <c r="A10" s="84" t="s">
        <v>260</v>
      </c>
      <c r="B10" s="39">
        <v>3.6</v>
      </c>
      <c r="C10" s="39">
        <v>2.5</v>
      </c>
      <c r="D10" s="39">
        <v>2.4</v>
      </c>
      <c r="E10" s="39">
        <v>7.9</v>
      </c>
      <c r="F10" s="39">
        <v>2.1</v>
      </c>
      <c r="G10" s="39">
        <v>1</v>
      </c>
      <c r="H10" s="127">
        <f t="shared" si="0"/>
        <v>19.5</v>
      </c>
    </row>
    <row r="11" spans="1:8" x14ac:dyDescent="0.25">
      <c r="A11" s="84" t="s">
        <v>261</v>
      </c>
      <c r="B11" s="39">
        <v>1.8</v>
      </c>
      <c r="C11" s="39">
        <v>2</v>
      </c>
      <c r="D11" s="39">
        <v>1.7</v>
      </c>
      <c r="E11" s="39">
        <v>8.1</v>
      </c>
      <c r="F11" s="39">
        <v>2.2999999999999998</v>
      </c>
      <c r="G11" s="39">
        <v>1.6</v>
      </c>
      <c r="H11" s="127">
        <f t="shared" si="0"/>
        <v>17.5</v>
      </c>
    </row>
    <row r="12" spans="1:8" x14ac:dyDescent="0.25">
      <c r="A12" s="84" t="s">
        <v>298</v>
      </c>
      <c r="B12" s="39">
        <v>1.4</v>
      </c>
      <c r="C12" s="39">
        <v>1.9</v>
      </c>
      <c r="D12" s="39">
        <v>1.1000000000000001</v>
      </c>
      <c r="E12" s="39">
        <v>7.8</v>
      </c>
      <c r="F12" s="39">
        <v>1.5</v>
      </c>
      <c r="G12" s="39">
        <v>1.4</v>
      </c>
      <c r="H12" s="127">
        <f t="shared" si="0"/>
        <v>15.1</v>
      </c>
    </row>
    <row r="13" spans="1:8" x14ac:dyDescent="0.25">
      <c r="A13" s="84" t="s">
        <v>304</v>
      </c>
      <c r="B13" s="39">
        <v>1.1000000000000001</v>
      </c>
      <c r="C13" s="39">
        <v>1.4</v>
      </c>
      <c r="D13" s="39">
        <v>1.3</v>
      </c>
      <c r="E13" s="39">
        <v>7.7</v>
      </c>
      <c r="F13" s="39">
        <v>3.1</v>
      </c>
      <c r="G13" s="39">
        <v>1.7</v>
      </c>
      <c r="H13" s="127">
        <f t="shared" si="0"/>
        <v>16.3</v>
      </c>
    </row>
    <row r="14" spans="1:8" x14ac:dyDescent="0.25">
      <c r="A14" s="84" t="s">
        <v>305</v>
      </c>
      <c r="B14" s="39">
        <v>0.8</v>
      </c>
      <c r="C14" s="39">
        <v>1.1000000000000001</v>
      </c>
      <c r="D14" s="39">
        <v>0.1</v>
      </c>
      <c r="E14" s="39">
        <v>7.9</v>
      </c>
      <c r="F14" s="39">
        <v>0.7</v>
      </c>
      <c r="G14" s="39">
        <v>1.2</v>
      </c>
      <c r="H14" s="127">
        <f t="shared" si="0"/>
        <v>11.799999999999999</v>
      </c>
    </row>
    <row r="15" spans="1:8" x14ac:dyDescent="0.25">
      <c r="A15" s="84" t="s">
        <v>306</v>
      </c>
      <c r="B15" s="39">
        <v>2.1</v>
      </c>
      <c r="C15" s="39">
        <v>1.9</v>
      </c>
      <c r="D15" s="39">
        <v>1.1000000000000001</v>
      </c>
      <c r="E15" s="39">
        <v>9.1</v>
      </c>
      <c r="F15" s="39">
        <v>1.3</v>
      </c>
      <c r="G15" s="39">
        <v>3.2</v>
      </c>
      <c r="H15" s="127">
        <f t="shared" si="0"/>
        <v>18.7</v>
      </c>
    </row>
    <row r="16" spans="1:8" x14ac:dyDescent="0.25">
      <c r="A16" s="84" t="s">
        <v>307</v>
      </c>
      <c r="B16" s="39">
        <v>2</v>
      </c>
      <c r="C16" s="39">
        <v>2.1</v>
      </c>
      <c r="D16" s="39">
        <v>2</v>
      </c>
      <c r="E16" s="39">
        <v>9.6</v>
      </c>
      <c r="F16" s="39">
        <v>3.2</v>
      </c>
      <c r="G16" s="39">
        <v>2.2000000000000002</v>
      </c>
      <c r="H16" s="127">
        <f t="shared" si="0"/>
        <v>21.099999999999998</v>
      </c>
    </row>
    <row r="17" spans="1:8" x14ac:dyDescent="0.25">
      <c r="A17" s="84" t="s">
        <v>308</v>
      </c>
      <c r="B17" s="39">
        <v>1.4</v>
      </c>
      <c r="C17" s="39">
        <v>2.8</v>
      </c>
      <c r="D17" s="39">
        <v>1.7</v>
      </c>
      <c r="E17" s="39">
        <v>10.3</v>
      </c>
      <c r="F17" s="39">
        <v>2.2000000000000002</v>
      </c>
      <c r="G17" s="39">
        <v>2.9</v>
      </c>
      <c r="H17" s="127">
        <f t="shared" si="0"/>
        <v>21.299999999999997</v>
      </c>
    </row>
    <row r="18" spans="1:8" x14ac:dyDescent="0.25">
      <c r="A18" s="84" t="s">
        <v>309</v>
      </c>
      <c r="B18" s="39">
        <v>1.3</v>
      </c>
      <c r="C18" s="39">
        <v>2.1</v>
      </c>
      <c r="D18" s="39">
        <v>0.8</v>
      </c>
      <c r="E18" s="39">
        <v>10.6</v>
      </c>
      <c r="F18" s="39">
        <v>2</v>
      </c>
      <c r="G18" s="39">
        <v>2.1</v>
      </c>
      <c r="H18" s="127">
        <f t="shared" si="0"/>
        <v>18.900000000000002</v>
      </c>
    </row>
    <row r="19" spans="1:8" x14ac:dyDescent="0.25">
      <c r="A19" s="84"/>
      <c r="B19" s="39"/>
      <c r="C19" s="39"/>
      <c r="D19" s="39"/>
      <c r="E19" s="39"/>
      <c r="F19" s="39"/>
      <c r="G19" s="39"/>
      <c r="H19" s="127"/>
    </row>
    <row r="20" spans="1:8" ht="15.75" thickBot="1" x14ac:dyDescent="0.3">
      <c r="A20" s="124" t="s">
        <v>45</v>
      </c>
      <c r="B20" s="129">
        <f>SUM(B7:B19)</f>
        <v>28.400000000000002</v>
      </c>
      <c r="C20" s="129">
        <f t="shared" ref="C20:H20" si="1">SUM(C7:C19)</f>
        <v>26.900000000000002</v>
      </c>
      <c r="D20" s="129">
        <f t="shared" si="1"/>
        <v>19.399999999999999</v>
      </c>
      <c r="E20" s="129">
        <f t="shared" si="1"/>
        <v>105.79999999999998</v>
      </c>
      <c r="F20" s="129">
        <f t="shared" si="1"/>
        <v>32.799999999999997</v>
      </c>
      <c r="G20" s="129">
        <f t="shared" si="1"/>
        <v>23.2</v>
      </c>
      <c r="H20" s="128">
        <f t="shared" si="1"/>
        <v>236.50000000000003</v>
      </c>
    </row>
    <row r="22" spans="1:8" ht="45" customHeight="1" x14ac:dyDescent="0.25">
      <c r="A22" s="642" t="s">
        <v>779</v>
      </c>
      <c r="B22" s="642"/>
      <c r="C22" s="642"/>
      <c r="D22" s="642"/>
      <c r="E22" s="642"/>
      <c r="F22" s="642"/>
      <c r="G22" s="642"/>
    </row>
    <row r="23" spans="1:8" ht="60" customHeight="1" x14ac:dyDescent="0.25">
      <c r="A23" s="642" t="s">
        <v>781</v>
      </c>
      <c r="B23" s="642"/>
      <c r="C23" s="642"/>
      <c r="D23" s="642"/>
      <c r="E23" s="642"/>
      <c r="F23" s="642"/>
      <c r="G23" s="642"/>
    </row>
    <row r="24" spans="1:8" ht="75" customHeight="1" x14ac:dyDescent="0.25">
      <c r="A24" s="642" t="s">
        <v>780</v>
      </c>
      <c r="B24" s="642"/>
      <c r="C24" s="642"/>
      <c r="D24" s="642"/>
      <c r="E24" s="642"/>
      <c r="F24" s="642"/>
      <c r="G24" s="642"/>
    </row>
    <row r="25" spans="1:8" x14ac:dyDescent="0.25">
      <c r="A25" s="661" t="s">
        <v>378</v>
      </c>
      <c r="B25" s="661"/>
      <c r="C25" s="661"/>
      <c r="D25" s="661"/>
      <c r="E25" s="661"/>
      <c r="F25" s="661"/>
      <c r="G25" s="661"/>
    </row>
    <row r="44" spans="1:1" x14ac:dyDescent="0.25">
      <c r="A44" s="10" t="s">
        <v>600</v>
      </c>
    </row>
    <row r="45" spans="1:1" x14ac:dyDescent="0.25">
      <c r="A45" t="s">
        <v>609</v>
      </c>
    </row>
    <row r="46" spans="1:1" x14ac:dyDescent="0.25">
      <c r="A46" t="s">
        <v>610</v>
      </c>
    </row>
    <row r="47" spans="1:1" x14ac:dyDescent="0.25">
      <c r="A47" s="10" t="s">
        <v>611</v>
      </c>
    </row>
  </sheetData>
  <mergeCells count="4">
    <mergeCell ref="A22:G22"/>
    <mergeCell ref="A23:G23"/>
    <mergeCell ref="A24:G24"/>
    <mergeCell ref="A25:G25"/>
  </mergeCells>
  <pageMargins left="0.7" right="0.7" top="0.78740157499999996" bottom="0.78740157499999996" header="0.3" footer="0.3"/>
  <pageSetup paperSize="9" scale="8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40"/>
  <sheetViews>
    <sheetView workbookViewId="0"/>
  </sheetViews>
  <sheetFormatPr baseColWidth="10" defaultColWidth="11.42578125" defaultRowHeight="15" x14ac:dyDescent="0.25"/>
  <cols>
    <col min="2" max="2" width="30.5703125" customWidth="1"/>
  </cols>
  <sheetData>
    <row r="1" spans="1:7" ht="21" x14ac:dyDescent="0.35">
      <c r="A1" s="162" t="s">
        <v>346</v>
      </c>
      <c r="C1" s="618" t="s">
        <v>1301</v>
      </c>
      <c r="D1" s="615"/>
      <c r="E1" s="615"/>
    </row>
    <row r="3" spans="1:7" x14ac:dyDescent="0.25">
      <c r="A3" s="300" t="s">
        <v>1187</v>
      </c>
    </row>
    <row r="5" spans="1:7" x14ac:dyDescent="0.25">
      <c r="C5" t="s">
        <v>347</v>
      </c>
      <c r="D5" t="s">
        <v>348</v>
      </c>
      <c r="E5" t="s">
        <v>349</v>
      </c>
      <c r="F5" t="s">
        <v>350</v>
      </c>
      <c r="G5" t="s">
        <v>351</v>
      </c>
    </row>
    <row r="6" spans="1:7" x14ac:dyDescent="0.25">
      <c r="C6" t="s">
        <v>352</v>
      </c>
      <c r="D6" t="s">
        <v>353</v>
      </c>
      <c r="E6" t="s">
        <v>348</v>
      </c>
      <c r="F6" t="s">
        <v>354</v>
      </c>
      <c r="G6" t="s">
        <v>257</v>
      </c>
    </row>
    <row r="7" spans="1:7" x14ac:dyDescent="0.25">
      <c r="A7" t="s">
        <v>355</v>
      </c>
      <c r="B7" t="s">
        <v>784</v>
      </c>
      <c r="C7" s="186">
        <v>50</v>
      </c>
      <c r="D7">
        <v>1600</v>
      </c>
      <c r="E7">
        <v>965</v>
      </c>
    </row>
    <row r="8" spans="1:7" x14ac:dyDescent="0.25">
      <c r="A8" t="s">
        <v>356</v>
      </c>
      <c r="B8" t="s">
        <v>785</v>
      </c>
      <c r="C8" s="186">
        <v>40</v>
      </c>
      <c r="D8">
        <v>1550</v>
      </c>
      <c r="E8">
        <v>1230</v>
      </c>
    </row>
    <row r="9" spans="1:7" x14ac:dyDescent="0.25">
      <c r="A9" t="s">
        <v>357</v>
      </c>
      <c r="B9" t="s">
        <v>786</v>
      </c>
      <c r="C9" s="186">
        <v>45</v>
      </c>
      <c r="D9">
        <v>2300</v>
      </c>
      <c r="E9">
        <v>2112</v>
      </c>
    </row>
    <row r="10" spans="1:7" x14ac:dyDescent="0.25">
      <c r="A10" t="s">
        <v>358</v>
      </c>
      <c r="B10" t="s">
        <v>788</v>
      </c>
      <c r="C10" s="186">
        <v>60</v>
      </c>
      <c r="D10">
        <v>2600</v>
      </c>
      <c r="E10">
        <v>1998</v>
      </c>
    </row>
    <row r="11" spans="1:7" x14ac:dyDescent="0.25">
      <c r="A11" t="s">
        <v>359</v>
      </c>
      <c r="B11" t="s">
        <v>788</v>
      </c>
      <c r="C11" s="186">
        <v>60</v>
      </c>
      <c r="D11">
        <v>2600</v>
      </c>
      <c r="E11">
        <v>2155</v>
      </c>
    </row>
    <row r="12" spans="1:7" x14ac:dyDescent="0.25">
      <c r="A12" t="s">
        <v>360</v>
      </c>
      <c r="B12" t="s">
        <v>787</v>
      </c>
      <c r="C12" s="186">
        <v>50</v>
      </c>
      <c r="D12">
        <v>1800</v>
      </c>
      <c r="E12">
        <v>1450</v>
      </c>
    </row>
    <row r="13" spans="1:7" x14ac:dyDescent="0.25">
      <c r="A13" t="s">
        <v>361</v>
      </c>
      <c r="B13" t="s">
        <v>788</v>
      </c>
      <c r="C13" s="186">
        <v>60</v>
      </c>
      <c r="D13">
        <v>2600</v>
      </c>
      <c r="E13">
        <v>2226</v>
      </c>
    </row>
    <row r="16" spans="1:7" x14ac:dyDescent="0.25">
      <c r="A16" s="40" t="s">
        <v>379</v>
      </c>
      <c r="B16" s="40"/>
      <c r="C16" s="40"/>
      <c r="D16" s="40"/>
      <c r="E16" s="40"/>
      <c r="F16" s="40"/>
      <c r="G16" s="40"/>
    </row>
    <row r="17" spans="1:7" x14ac:dyDescent="0.25">
      <c r="A17" s="40" t="s">
        <v>380</v>
      </c>
      <c r="B17" s="40"/>
      <c r="C17" s="40"/>
      <c r="D17" s="40"/>
      <c r="E17" s="40"/>
      <c r="F17" s="40"/>
      <c r="G17" s="40"/>
    </row>
    <row r="18" spans="1:7" ht="30" customHeight="1" x14ac:dyDescent="0.25">
      <c r="A18" s="642" t="s">
        <v>791</v>
      </c>
      <c r="B18" s="642"/>
      <c r="C18" s="642"/>
      <c r="D18" s="642"/>
      <c r="E18" s="642"/>
      <c r="F18" s="642"/>
      <c r="G18" s="642"/>
    </row>
    <row r="19" spans="1:7" x14ac:dyDescent="0.25">
      <c r="A19" s="40" t="s">
        <v>381</v>
      </c>
      <c r="B19" s="40"/>
      <c r="C19" s="40"/>
      <c r="D19" s="40"/>
      <c r="E19" s="40"/>
      <c r="F19" s="40"/>
      <c r="G19" s="40"/>
    </row>
    <row r="20" spans="1:7" ht="30" customHeight="1" x14ac:dyDescent="0.25">
      <c r="A20" s="642" t="s">
        <v>790</v>
      </c>
      <c r="B20" s="642"/>
      <c r="C20" s="642"/>
      <c r="D20" s="642"/>
      <c r="E20" s="642"/>
      <c r="F20" s="642"/>
      <c r="G20" s="642"/>
    </row>
    <row r="21" spans="1:7" ht="15.75" thickBot="1" x14ac:dyDescent="0.3"/>
    <row r="22" spans="1:7" x14ac:dyDescent="0.25">
      <c r="A22" s="103"/>
      <c r="B22" s="104"/>
      <c r="C22" s="104"/>
      <c r="D22" s="104"/>
      <c r="E22" s="104"/>
      <c r="F22" s="104"/>
      <c r="G22" s="105"/>
    </row>
    <row r="23" spans="1:7" x14ac:dyDescent="0.25">
      <c r="A23" s="106"/>
      <c r="G23" s="107"/>
    </row>
    <row r="24" spans="1:7" x14ac:dyDescent="0.25">
      <c r="A24" s="106"/>
      <c r="G24" s="107"/>
    </row>
    <row r="25" spans="1:7" x14ac:dyDescent="0.25">
      <c r="A25" s="106"/>
      <c r="G25" s="107"/>
    </row>
    <row r="26" spans="1:7" x14ac:dyDescent="0.25">
      <c r="A26" s="106"/>
      <c r="G26" s="107"/>
    </row>
    <row r="27" spans="1:7" x14ac:dyDescent="0.25">
      <c r="A27" s="106"/>
      <c r="G27" s="107"/>
    </row>
    <row r="28" spans="1:7" x14ac:dyDescent="0.25">
      <c r="A28" s="106"/>
      <c r="G28" s="107"/>
    </row>
    <row r="29" spans="1:7" x14ac:dyDescent="0.25">
      <c r="A29" s="106"/>
      <c r="G29" s="107"/>
    </row>
    <row r="30" spans="1:7" x14ac:dyDescent="0.25">
      <c r="A30" s="106"/>
      <c r="C30" s="10" t="s">
        <v>792</v>
      </c>
      <c r="G30" s="107"/>
    </row>
    <row r="31" spans="1:7" x14ac:dyDescent="0.25">
      <c r="A31" s="106"/>
      <c r="G31" s="107"/>
    </row>
    <row r="32" spans="1:7" x14ac:dyDescent="0.25">
      <c r="A32" s="106"/>
      <c r="G32" s="107"/>
    </row>
    <row r="33" spans="1:7" x14ac:dyDescent="0.25">
      <c r="A33" s="106"/>
      <c r="G33" s="107"/>
    </row>
    <row r="34" spans="1:7" x14ac:dyDescent="0.25">
      <c r="A34" s="106"/>
      <c r="G34" s="107"/>
    </row>
    <row r="35" spans="1:7" x14ac:dyDescent="0.25">
      <c r="A35" s="106"/>
      <c r="G35" s="107"/>
    </row>
    <row r="36" spans="1:7" x14ac:dyDescent="0.25">
      <c r="A36" s="106"/>
      <c r="G36" s="107"/>
    </row>
    <row r="37" spans="1:7" x14ac:dyDescent="0.25">
      <c r="A37" s="106"/>
      <c r="G37" s="107"/>
    </row>
    <row r="38" spans="1:7" x14ac:dyDescent="0.25">
      <c r="A38" s="106"/>
      <c r="G38" s="107"/>
    </row>
    <row r="39" spans="1:7" x14ac:dyDescent="0.25">
      <c r="A39" s="106"/>
      <c r="G39" s="107"/>
    </row>
    <row r="40" spans="1:7" ht="15.75" thickBot="1" x14ac:dyDescent="0.3">
      <c r="A40" s="108"/>
      <c r="B40" s="109"/>
      <c r="C40" s="109"/>
      <c r="D40" s="109"/>
      <c r="E40" s="109"/>
      <c r="F40" s="109"/>
      <c r="G40" s="110"/>
    </row>
  </sheetData>
  <mergeCells count="2">
    <mergeCell ref="A18:G18"/>
    <mergeCell ref="A20:G20"/>
  </mergeCells>
  <pageMargins left="0.70866141732283472" right="0.70866141732283472" top="0.78740157480314965" bottom="0.78740157480314965" header="0.31496062992125984" footer="0.31496062992125984"/>
  <pageSetup paperSize="9" scale="8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44"/>
  <sheetViews>
    <sheetView workbookViewId="0"/>
  </sheetViews>
  <sheetFormatPr baseColWidth="10" defaultRowHeight="15" x14ac:dyDescent="0.25"/>
  <cols>
    <col min="1" max="1" width="16.140625" customWidth="1"/>
    <col min="2" max="2" width="30.5703125" customWidth="1"/>
    <col min="6" max="6" width="10.5703125" customWidth="1"/>
    <col min="7" max="7" width="14" customWidth="1"/>
  </cols>
  <sheetData>
    <row r="1" spans="1:7" ht="21" x14ac:dyDescent="0.35">
      <c r="A1" s="162" t="s">
        <v>346</v>
      </c>
      <c r="B1" s="615"/>
      <c r="C1" s="622" t="s">
        <v>1302</v>
      </c>
    </row>
    <row r="3" spans="1:7" x14ac:dyDescent="0.25">
      <c r="A3" s="300" t="s">
        <v>1187</v>
      </c>
    </row>
    <row r="5" spans="1:7" ht="15" customHeight="1" x14ac:dyDescent="0.25">
      <c r="C5" s="519" t="s">
        <v>347</v>
      </c>
      <c r="D5" s="519" t="s">
        <v>348</v>
      </c>
      <c r="E5" s="665" t="s">
        <v>612</v>
      </c>
      <c r="F5" s="665" t="s">
        <v>613</v>
      </c>
      <c r="G5" s="519" t="s">
        <v>351</v>
      </c>
    </row>
    <row r="6" spans="1:7" ht="15" customHeight="1" x14ac:dyDescent="0.25">
      <c r="C6" s="520" t="s">
        <v>352</v>
      </c>
      <c r="D6" s="520" t="s">
        <v>353</v>
      </c>
      <c r="E6" s="666"/>
      <c r="F6" s="666"/>
      <c r="G6" s="520" t="s">
        <v>257</v>
      </c>
    </row>
    <row r="7" spans="1:7" x14ac:dyDescent="0.25">
      <c r="A7" s="51" t="s">
        <v>355</v>
      </c>
      <c r="B7" s="51" t="s">
        <v>784</v>
      </c>
      <c r="C7" s="623">
        <v>50</v>
      </c>
      <c r="D7" s="59">
        <v>1600</v>
      </c>
      <c r="E7" s="59">
        <v>965</v>
      </c>
      <c r="F7" s="39">
        <f>+D7-E7</f>
        <v>635</v>
      </c>
      <c r="G7" s="623">
        <f>+E7*C7</f>
        <v>48250</v>
      </c>
    </row>
    <row r="8" spans="1:7" x14ac:dyDescent="0.25">
      <c r="A8" s="51" t="s">
        <v>356</v>
      </c>
      <c r="B8" s="51" t="s">
        <v>785</v>
      </c>
      <c r="C8" s="623">
        <v>40</v>
      </c>
      <c r="D8" s="59">
        <v>1550</v>
      </c>
      <c r="E8" s="59">
        <v>1230</v>
      </c>
      <c r="F8" s="39">
        <f t="shared" ref="F8:F13" si="0">+D8-E8</f>
        <v>320</v>
      </c>
      <c r="G8" s="623">
        <f t="shared" ref="G8:G13" si="1">+E8*C8</f>
        <v>49200</v>
      </c>
    </row>
    <row r="9" spans="1:7" x14ac:dyDescent="0.25">
      <c r="A9" s="51" t="s">
        <v>357</v>
      </c>
      <c r="B9" s="51" t="s">
        <v>786</v>
      </c>
      <c r="C9" s="623">
        <v>45</v>
      </c>
      <c r="D9" s="59">
        <v>2300</v>
      </c>
      <c r="E9" s="59">
        <v>2112</v>
      </c>
      <c r="F9" s="39">
        <f t="shared" si="0"/>
        <v>188</v>
      </c>
      <c r="G9" s="623">
        <f t="shared" si="1"/>
        <v>95040</v>
      </c>
    </row>
    <row r="10" spans="1:7" x14ac:dyDescent="0.25">
      <c r="A10" s="51" t="s">
        <v>358</v>
      </c>
      <c r="B10" s="51" t="s">
        <v>788</v>
      </c>
      <c r="C10" s="623">
        <v>60</v>
      </c>
      <c r="D10" s="59">
        <v>2600</v>
      </c>
      <c r="E10" s="59">
        <v>1998</v>
      </c>
      <c r="F10" s="39">
        <f t="shared" si="0"/>
        <v>602</v>
      </c>
      <c r="G10" s="623">
        <f t="shared" si="1"/>
        <v>119880</v>
      </c>
    </row>
    <row r="11" spans="1:7" x14ac:dyDescent="0.25">
      <c r="A11" s="51" t="s">
        <v>359</v>
      </c>
      <c r="B11" s="51" t="s">
        <v>788</v>
      </c>
      <c r="C11" s="623">
        <v>60</v>
      </c>
      <c r="D11" s="59">
        <v>2600</v>
      </c>
      <c r="E11" s="59">
        <v>2155</v>
      </c>
      <c r="F11" s="39">
        <f t="shared" si="0"/>
        <v>445</v>
      </c>
      <c r="G11" s="623">
        <f t="shared" si="1"/>
        <v>129300</v>
      </c>
    </row>
    <row r="12" spans="1:7" x14ac:dyDescent="0.25">
      <c r="A12" s="51" t="s">
        <v>360</v>
      </c>
      <c r="B12" s="51" t="s">
        <v>787</v>
      </c>
      <c r="C12" s="623">
        <v>50</v>
      </c>
      <c r="D12" s="59">
        <v>1800</v>
      </c>
      <c r="E12" s="59">
        <v>1450</v>
      </c>
      <c r="F12" s="39">
        <f t="shared" si="0"/>
        <v>350</v>
      </c>
      <c r="G12" s="623">
        <f t="shared" si="1"/>
        <v>72500</v>
      </c>
    </row>
    <row r="13" spans="1:7" x14ac:dyDescent="0.25">
      <c r="A13" s="51" t="s">
        <v>361</v>
      </c>
      <c r="B13" s="51" t="s">
        <v>788</v>
      </c>
      <c r="C13" s="623">
        <v>60</v>
      </c>
      <c r="D13" s="59">
        <v>2600</v>
      </c>
      <c r="E13" s="59">
        <v>2226</v>
      </c>
      <c r="F13" s="39">
        <f t="shared" si="0"/>
        <v>374</v>
      </c>
      <c r="G13" s="623">
        <f t="shared" si="1"/>
        <v>133560</v>
      </c>
    </row>
    <row r="14" spans="1:7" x14ac:dyDescent="0.25">
      <c r="A14" s="33"/>
      <c r="B14" s="33"/>
      <c r="C14" s="623"/>
      <c r="D14" s="39"/>
      <c r="E14" s="39"/>
      <c r="F14" s="39"/>
      <c r="G14" s="623"/>
    </row>
    <row r="15" spans="1:7" x14ac:dyDescent="0.25">
      <c r="A15" s="51" t="s">
        <v>45</v>
      </c>
      <c r="B15" s="33"/>
      <c r="C15" s="39"/>
      <c r="D15" s="59">
        <f>SUM(D7:D14)</f>
        <v>15050</v>
      </c>
      <c r="E15" s="59">
        <f>SUM(E7:E14)</f>
        <v>12136</v>
      </c>
      <c r="F15" s="59">
        <f>SUM(F7:F14)</f>
        <v>2914</v>
      </c>
      <c r="G15" s="623">
        <f>SUM(G7:G14)</f>
        <v>647730</v>
      </c>
    </row>
    <row r="17" spans="1:7" x14ac:dyDescent="0.25">
      <c r="A17" s="40" t="s">
        <v>379</v>
      </c>
      <c r="B17" s="40"/>
      <c r="C17" s="40"/>
      <c r="D17" s="40"/>
      <c r="E17" s="40"/>
      <c r="F17" s="40"/>
      <c r="G17" s="40"/>
    </row>
    <row r="18" spans="1:7" x14ac:dyDescent="0.25">
      <c r="A18" s="40" t="s">
        <v>380</v>
      </c>
      <c r="B18" s="40"/>
      <c r="C18" s="40"/>
      <c r="D18" s="40"/>
      <c r="E18" s="40"/>
      <c r="F18" s="40"/>
      <c r="G18" s="40"/>
    </row>
    <row r="19" spans="1:7" ht="30" customHeight="1" x14ac:dyDescent="0.25">
      <c r="A19" s="642" t="s">
        <v>791</v>
      </c>
      <c r="B19" s="642"/>
      <c r="C19" s="642"/>
      <c r="D19" s="642"/>
      <c r="E19" s="642"/>
      <c r="F19" s="642"/>
      <c r="G19" s="642"/>
    </row>
    <row r="20" spans="1:7" x14ac:dyDescent="0.25">
      <c r="A20" s="40" t="s">
        <v>381</v>
      </c>
      <c r="B20" s="40"/>
      <c r="C20" s="40"/>
      <c r="D20" s="40"/>
      <c r="E20" s="40"/>
      <c r="F20" s="40"/>
      <c r="G20" s="40"/>
    </row>
    <row r="21" spans="1:7" ht="30" customHeight="1" x14ac:dyDescent="0.25">
      <c r="A21" s="642" t="s">
        <v>790</v>
      </c>
      <c r="B21" s="642"/>
      <c r="C21" s="642"/>
      <c r="D21" s="642"/>
      <c r="E21" s="642"/>
      <c r="F21" s="642"/>
      <c r="G21" s="642"/>
    </row>
    <row r="42" spans="1:1" x14ac:dyDescent="0.25">
      <c r="A42" s="10" t="s">
        <v>600</v>
      </c>
    </row>
    <row r="43" spans="1:1" x14ac:dyDescent="0.25">
      <c r="A43" t="s">
        <v>614</v>
      </c>
    </row>
    <row r="44" spans="1:1" x14ac:dyDescent="0.25">
      <c r="A44" t="s">
        <v>789</v>
      </c>
    </row>
  </sheetData>
  <mergeCells count="4">
    <mergeCell ref="E5:E6"/>
    <mergeCell ref="F5:F6"/>
    <mergeCell ref="A19:G19"/>
    <mergeCell ref="A21:G21"/>
  </mergeCell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F21"/>
  <sheetViews>
    <sheetView workbookViewId="0"/>
  </sheetViews>
  <sheetFormatPr baseColWidth="10" defaultColWidth="11.42578125" defaultRowHeight="15" x14ac:dyDescent="0.25"/>
  <cols>
    <col min="1" max="1" width="22.85546875" customWidth="1"/>
    <col min="2" max="2" width="12" customWidth="1"/>
    <col min="3" max="3" width="13" customWidth="1"/>
  </cols>
  <sheetData>
    <row r="1" spans="1:6" ht="21" x14ac:dyDescent="0.35">
      <c r="A1" s="162" t="s">
        <v>362</v>
      </c>
      <c r="B1" s="620" t="s">
        <v>1267</v>
      </c>
      <c r="C1" s="615"/>
    </row>
    <row r="3" spans="1:6" x14ac:dyDescent="0.25">
      <c r="A3" s="300" t="s">
        <v>1188</v>
      </c>
      <c r="B3" s="205"/>
      <c r="C3" s="205"/>
    </row>
    <row r="4" spans="1:6" ht="26.45" customHeight="1" x14ac:dyDescent="0.25">
      <c r="A4" s="205"/>
      <c r="B4" s="237" t="s">
        <v>363</v>
      </c>
      <c r="C4" s="237" t="s">
        <v>364</v>
      </c>
    </row>
    <row r="5" spans="1:6" x14ac:dyDescent="0.25">
      <c r="A5" s="203" t="s">
        <v>365</v>
      </c>
      <c r="B5" s="238">
        <v>144800</v>
      </c>
      <c r="C5" s="238">
        <v>123600</v>
      </c>
    </row>
    <row r="6" spans="1:6" x14ac:dyDescent="0.25">
      <c r="A6" s="203" t="s">
        <v>366</v>
      </c>
      <c r="B6" s="239">
        <v>127200</v>
      </c>
      <c r="C6" s="239">
        <v>131925</v>
      </c>
    </row>
    <row r="7" spans="1:6" x14ac:dyDescent="0.25">
      <c r="A7" s="203" t="s">
        <v>367</v>
      </c>
      <c r="B7" s="239">
        <v>352946</v>
      </c>
      <c r="C7" s="239">
        <v>332790</v>
      </c>
    </row>
    <row r="8" spans="1:6" x14ac:dyDescent="0.25">
      <c r="A8" s="203" t="s">
        <v>368</v>
      </c>
      <c r="B8" s="239">
        <v>21350</v>
      </c>
      <c r="C8" s="239">
        <v>25690</v>
      </c>
    </row>
    <row r="9" spans="1:6" x14ac:dyDescent="0.25">
      <c r="A9" s="203" t="s">
        <v>369</v>
      </c>
      <c r="B9" s="239">
        <v>32800</v>
      </c>
      <c r="C9" s="239">
        <v>34000</v>
      </c>
    </row>
    <row r="10" spans="1:6" x14ac:dyDescent="0.25">
      <c r="A10" s="203" t="s">
        <v>370</v>
      </c>
      <c r="B10" s="239">
        <v>21935</v>
      </c>
      <c r="C10" s="239">
        <v>13287</v>
      </c>
    </row>
    <row r="11" spans="1:6" x14ac:dyDescent="0.25">
      <c r="A11" s="203" t="s">
        <v>351</v>
      </c>
      <c r="B11" s="239">
        <v>1126791</v>
      </c>
      <c r="C11" s="239">
        <v>1000716</v>
      </c>
    </row>
    <row r="14" spans="1:6" ht="30" customHeight="1" x14ac:dyDescent="0.25">
      <c r="A14" s="667" t="s">
        <v>799</v>
      </c>
      <c r="B14" s="667"/>
      <c r="C14" s="667"/>
      <c r="D14" s="667"/>
      <c r="E14" s="667"/>
      <c r="F14" s="667"/>
    </row>
    <row r="15" spans="1:6" ht="30" customHeight="1" x14ac:dyDescent="0.25">
      <c r="A15" s="667" t="s">
        <v>794</v>
      </c>
      <c r="B15" s="667"/>
      <c r="C15" s="667"/>
      <c r="D15" s="667"/>
      <c r="E15" s="667"/>
      <c r="F15" s="667"/>
    </row>
    <row r="16" spans="1:6" x14ac:dyDescent="0.25">
      <c r="A16" s="386" t="s">
        <v>382</v>
      </c>
      <c r="B16" s="385"/>
      <c r="C16" s="385"/>
      <c r="D16" s="385"/>
      <c r="E16" s="385"/>
      <c r="F16" s="385"/>
    </row>
    <row r="17" spans="1:6" x14ac:dyDescent="0.25">
      <c r="A17" s="386" t="s">
        <v>793</v>
      </c>
      <c r="B17" s="385"/>
      <c r="C17" s="385"/>
      <c r="D17" s="385"/>
      <c r="E17" s="385"/>
      <c r="F17" s="385"/>
    </row>
    <row r="18" spans="1:6" ht="30" customHeight="1" x14ac:dyDescent="0.25">
      <c r="A18" s="667" t="s">
        <v>795</v>
      </c>
      <c r="B18" s="667"/>
      <c r="C18" s="667"/>
      <c r="D18" s="667"/>
      <c r="E18" s="667"/>
      <c r="F18" s="667"/>
    </row>
    <row r="19" spans="1:6" ht="30" customHeight="1" x14ac:dyDescent="0.25">
      <c r="A19" s="667" t="s">
        <v>796</v>
      </c>
      <c r="B19" s="667"/>
      <c r="C19" s="667"/>
      <c r="D19" s="667"/>
      <c r="E19" s="667"/>
      <c r="F19" s="667"/>
    </row>
    <row r="20" spans="1:6" ht="28.5" customHeight="1" x14ac:dyDescent="0.25">
      <c r="A20" s="667" t="s">
        <v>797</v>
      </c>
      <c r="B20" s="667"/>
      <c r="C20" s="667"/>
      <c r="D20" s="667"/>
      <c r="E20" s="667"/>
      <c r="F20" s="667"/>
    </row>
    <row r="21" spans="1:6" ht="30" customHeight="1" x14ac:dyDescent="0.25">
      <c r="A21" s="667" t="s">
        <v>798</v>
      </c>
      <c r="B21" s="667"/>
      <c r="C21" s="667"/>
      <c r="D21" s="667"/>
      <c r="E21" s="667"/>
      <c r="F21" s="667"/>
    </row>
  </sheetData>
  <mergeCells count="6">
    <mergeCell ref="A21:F21"/>
    <mergeCell ref="A14:F14"/>
    <mergeCell ref="A15:F15"/>
    <mergeCell ref="A18:F18"/>
    <mergeCell ref="A19:F19"/>
    <mergeCell ref="A20:F20"/>
  </mergeCells>
  <pageMargins left="0.70866141732283472" right="0.70866141732283472" top="0.78740157480314965" bottom="0.78740157480314965"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47"/>
  <sheetViews>
    <sheetView zoomScaleNormal="100" workbookViewId="0"/>
  </sheetViews>
  <sheetFormatPr baseColWidth="10" defaultRowHeight="15" x14ac:dyDescent="0.25"/>
  <cols>
    <col min="1" max="1" width="21.5703125" customWidth="1"/>
    <col min="2" max="3" width="14" customWidth="1"/>
  </cols>
  <sheetData>
    <row r="1" spans="1:4" ht="21" x14ac:dyDescent="0.35">
      <c r="A1" s="162" t="s">
        <v>362</v>
      </c>
      <c r="B1" s="618" t="s">
        <v>1302</v>
      </c>
      <c r="C1" s="615"/>
      <c r="D1" s="615"/>
    </row>
    <row r="3" spans="1:4" x14ac:dyDescent="0.25">
      <c r="A3" s="300" t="s">
        <v>1188</v>
      </c>
      <c r="B3" s="27"/>
      <c r="C3" s="27"/>
    </row>
    <row r="4" spans="1:4" ht="30" customHeight="1" x14ac:dyDescent="0.25">
      <c r="A4" s="131"/>
      <c r="B4" s="132" t="s">
        <v>363</v>
      </c>
      <c r="C4" s="132" t="s">
        <v>364</v>
      </c>
    </row>
    <row r="5" spans="1:4" x14ac:dyDescent="0.25">
      <c r="A5" s="135" t="s">
        <v>365</v>
      </c>
      <c r="B5" s="133">
        <v>144800</v>
      </c>
      <c r="C5" s="133">
        <v>123600</v>
      </c>
    </row>
    <row r="6" spans="1:4" x14ac:dyDescent="0.25">
      <c r="A6" s="135" t="s">
        <v>366</v>
      </c>
      <c r="B6" s="134">
        <v>127200</v>
      </c>
      <c r="C6" s="134">
        <v>131925</v>
      </c>
    </row>
    <row r="7" spans="1:4" x14ac:dyDescent="0.25">
      <c r="A7" s="135" t="s">
        <v>367</v>
      </c>
      <c r="B7" s="134">
        <v>352946</v>
      </c>
      <c r="C7" s="134">
        <v>332790</v>
      </c>
    </row>
    <row r="8" spans="1:4" x14ac:dyDescent="0.25">
      <c r="A8" s="135" t="s">
        <v>368</v>
      </c>
      <c r="B8" s="134">
        <v>21350</v>
      </c>
      <c r="C8" s="134">
        <v>25690</v>
      </c>
    </row>
    <row r="9" spans="1:4" x14ac:dyDescent="0.25">
      <c r="A9" s="135" t="s">
        <v>369</v>
      </c>
      <c r="B9" s="134">
        <v>32800</v>
      </c>
      <c r="C9" s="134">
        <v>34000</v>
      </c>
    </row>
    <row r="10" spans="1:4" x14ac:dyDescent="0.25">
      <c r="A10" s="135" t="s">
        <v>370</v>
      </c>
      <c r="B10" s="134">
        <v>21935</v>
      </c>
      <c r="C10" s="134">
        <v>13287</v>
      </c>
    </row>
    <row r="11" spans="1:4" x14ac:dyDescent="0.25">
      <c r="A11" s="135" t="s">
        <v>351</v>
      </c>
      <c r="B11" s="134">
        <v>1126791</v>
      </c>
      <c r="C11" s="134">
        <v>1000716</v>
      </c>
    </row>
    <row r="12" spans="1:4" x14ac:dyDescent="0.25">
      <c r="A12" s="1"/>
      <c r="B12" s="61"/>
      <c r="C12" s="61"/>
    </row>
    <row r="13" spans="1:4" x14ac:dyDescent="0.25">
      <c r="A13" s="1" t="s">
        <v>615</v>
      </c>
      <c r="B13" s="111">
        <f>B10/B5</f>
        <v>0.15148480662983427</v>
      </c>
      <c r="C13" s="111">
        <f>C10/C5</f>
        <v>0.1075</v>
      </c>
    </row>
    <row r="14" spans="1:4" x14ac:dyDescent="0.25">
      <c r="A14" s="1" t="s">
        <v>597</v>
      </c>
      <c r="B14" s="130">
        <f>+B5/(B5+B6)</f>
        <v>0.53235294117647058</v>
      </c>
      <c r="C14" s="130">
        <f>+C5/(C5+C6)</f>
        <v>0.48371000880540066</v>
      </c>
    </row>
    <row r="15" spans="1:4" x14ac:dyDescent="0.25">
      <c r="A15" s="1" t="s">
        <v>616</v>
      </c>
      <c r="B15" s="130">
        <f>B10/B11</f>
        <v>1.9466786653425525E-2</v>
      </c>
      <c r="C15" s="130">
        <f>C10/C11</f>
        <v>1.3277493314786613E-2</v>
      </c>
    </row>
    <row r="16" spans="1:4" x14ac:dyDescent="0.25">
      <c r="A16" s="1"/>
      <c r="B16" s="61"/>
      <c r="C16" s="61"/>
    </row>
    <row r="17" spans="1:6" x14ac:dyDescent="0.25">
      <c r="A17" s="1" t="s">
        <v>617</v>
      </c>
      <c r="B17" s="61"/>
      <c r="C17" s="61"/>
    </row>
    <row r="18" spans="1:6" x14ac:dyDescent="0.25">
      <c r="A18" s="1" t="s">
        <v>615</v>
      </c>
      <c r="B18" s="130">
        <f>+B13/C13-1</f>
        <v>0.40916099190543509</v>
      </c>
      <c r="C18" s="61"/>
    </row>
    <row r="19" spans="1:6" x14ac:dyDescent="0.25">
      <c r="A19" s="1" t="s">
        <v>597</v>
      </c>
      <c r="B19" s="130">
        <f t="shared" ref="B19:B20" si="0">+B14/C14-1</f>
        <v>0.10056217875499707</v>
      </c>
      <c r="C19" s="61"/>
    </row>
    <row r="20" spans="1:6" x14ac:dyDescent="0.25">
      <c r="A20" s="1" t="s">
        <v>616</v>
      </c>
      <c r="B20" s="130">
        <f t="shared" si="0"/>
        <v>0.46614923403848696</v>
      </c>
    </row>
    <row r="22" spans="1:6" s="384" customFormat="1" ht="30" customHeight="1" x14ac:dyDescent="0.25">
      <c r="A22" s="667" t="s">
        <v>799</v>
      </c>
      <c r="B22" s="667"/>
      <c r="C22" s="667"/>
      <c r="D22" s="667"/>
      <c r="E22" s="667"/>
      <c r="F22" s="667"/>
    </row>
    <row r="23" spans="1:6" s="384" customFormat="1" ht="30" customHeight="1" x14ac:dyDescent="0.25">
      <c r="A23" s="667" t="s">
        <v>794</v>
      </c>
      <c r="B23" s="667"/>
      <c r="C23" s="667"/>
      <c r="D23" s="667"/>
      <c r="E23" s="667"/>
      <c r="F23" s="667"/>
    </row>
    <row r="24" spans="1:6" s="384" customFormat="1" x14ac:dyDescent="0.25">
      <c r="A24" s="386" t="s">
        <v>382</v>
      </c>
      <c r="B24" s="385"/>
      <c r="C24" s="385"/>
      <c r="D24" s="385"/>
      <c r="E24" s="385"/>
      <c r="F24" s="385"/>
    </row>
    <row r="25" spans="1:6" s="384" customFormat="1" x14ac:dyDescent="0.25">
      <c r="A25" s="386" t="s">
        <v>793</v>
      </c>
      <c r="B25" s="385"/>
      <c r="C25" s="385"/>
      <c r="D25" s="385"/>
      <c r="E25" s="385"/>
      <c r="F25" s="385"/>
    </row>
    <row r="26" spans="1:6" s="384" customFormat="1" ht="30" customHeight="1" x14ac:dyDescent="0.25">
      <c r="A26" s="667" t="s">
        <v>795</v>
      </c>
      <c r="B26" s="667"/>
      <c r="C26" s="667"/>
      <c r="D26" s="667"/>
      <c r="E26" s="667"/>
      <c r="F26" s="667"/>
    </row>
    <row r="27" spans="1:6" s="384" customFormat="1" ht="30" customHeight="1" x14ac:dyDescent="0.25">
      <c r="A27" s="667" t="s">
        <v>796</v>
      </c>
      <c r="B27" s="667"/>
      <c r="C27" s="667"/>
      <c r="D27" s="667"/>
      <c r="E27" s="667"/>
      <c r="F27" s="667"/>
    </row>
    <row r="28" spans="1:6" s="384" customFormat="1" ht="30" customHeight="1" x14ac:dyDescent="0.25">
      <c r="A28" s="667" t="s">
        <v>797</v>
      </c>
      <c r="B28" s="667"/>
      <c r="C28" s="667"/>
      <c r="D28" s="667"/>
      <c r="E28" s="667"/>
      <c r="F28" s="667"/>
    </row>
    <row r="29" spans="1:6" s="384" customFormat="1" ht="30" customHeight="1" x14ac:dyDescent="0.25">
      <c r="A29" s="667" t="s">
        <v>798</v>
      </c>
      <c r="B29" s="667"/>
      <c r="C29" s="667"/>
      <c r="D29" s="667"/>
      <c r="E29" s="667"/>
      <c r="F29" s="667"/>
    </row>
    <row r="46" spans="1:1" x14ac:dyDescent="0.25">
      <c r="A46" s="10" t="s">
        <v>600</v>
      </c>
    </row>
    <row r="47" spans="1:1" x14ac:dyDescent="0.25">
      <c r="A47" t="s">
        <v>618</v>
      </c>
    </row>
  </sheetData>
  <mergeCells count="6">
    <mergeCell ref="A29:F29"/>
    <mergeCell ref="A22:F22"/>
    <mergeCell ref="A23:F23"/>
    <mergeCell ref="A26:F26"/>
    <mergeCell ref="A27:F27"/>
    <mergeCell ref="A28:F28"/>
  </mergeCells>
  <pageMargins left="0.7" right="0.7" top="0.78740157499999996" bottom="0.78740157499999996" header="0.3" footer="0.3"/>
  <pageSetup paperSize="9" scale="92" orientation="portrait" r:id="rId1"/>
  <rowBreaks count="1" manualBreakCount="1">
    <brk id="4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134"/>
  <sheetViews>
    <sheetView workbookViewId="0"/>
  </sheetViews>
  <sheetFormatPr baseColWidth="10" defaultRowHeight="15" x14ac:dyDescent="0.25"/>
  <cols>
    <col min="2" max="2" width="13.28515625" customWidth="1"/>
    <col min="3" max="3" width="14.7109375" customWidth="1"/>
    <col min="4" max="4" width="13.5703125" customWidth="1"/>
    <col min="5" max="5" width="13" customWidth="1"/>
    <col min="6" max="7" width="13.140625" customWidth="1"/>
    <col min="8" max="8" width="17.140625" customWidth="1"/>
    <col min="10" max="12" width="13.7109375" customWidth="1"/>
    <col min="13" max="15" width="13.140625" customWidth="1"/>
  </cols>
  <sheetData>
    <row r="2" spans="2:15" ht="18.75" x14ac:dyDescent="0.3">
      <c r="B2" s="522" t="s">
        <v>933</v>
      </c>
      <c r="J2" s="10" t="s">
        <v>909</v>
      </c>
    </row>
    <row r="4" spans="2:15" x14ac:dyDescent="0.25">
      <c r="B4" s="10" t="s">
        <v>1280</v>
      </c>
      <c r="J4" s="10" t="s">
        <v>1280</v>
      </c>
    </row>
    <row r="5" spans="2:15" x14ac:dyDescent="0.25">
      <c r="B5" s="64" t="s">
        <v>1032</v>
      </c>
    </row>
    <row r="6" spans="2:15" x14ac:dyDescent="0.25">
      <c r="B6" s="64"/>
    </row>
    <row r="7" spans="2:15" x14ac:dyDescent="0.25">
      <c r="B7" s="64" t="s">
        <v>1033</v>
      </c>
      <c r="J7" s="64" t="s">
        <v>1033</v>
      </c>
    </row>
    <row r="8" spans="2:15" x14ac:dyDescent="0.25">
      <c r="B8" s="64" t="s">
        <v>1034</v>
      </c>
      <c r="J8" s="64" t="s">
        <v>1034</v>
      </c>
    </row>
    <row r="9" spans="2:15" x14ac:dyDescent="0.25">
      <c r="B9" s="64" t="s">
        <v>1035</v>
      </c>
      <c r="J9" s="64" t="s">
        <v>1035</v>
      </c>
    </row>
    <row r="11" spans="2:15" x14ac:dyDescent="0.25">
      <c r="B11" s="160" t="s">
        <v>934</v>
      </c>
      <c r="C11" s="160" t="s">
        <v>935</v>
      </c>
      <c r="D11" s="160" t="s">
        <v>78</v>
      </c>
      <c r="E11" s="160" t="s">
        <v>936</v>
      </c>
      <c r="F11" s="160" t="s">
        <v>937</v>
      </c>
      <c r="G11" s="160" t="s">
        <v>938</v>
      </c>
      <c r="J11" s="160" t="s">
        <v>934</v>
      </c>
      <c r="K11" s="160" t="s">
        <v>935</v>
      </c>
      <c r="L11" s="160" t="s">
        <v>78</v>
      </c>
      <c r="M11" s="160" t="s">
        <v>936</v>
      </c>
      <c r="N11" s="160" t="s">
        <v>937</v>
      </c>
      <c r="O11" s="160" t="s">
        <v>938</v>
      </c>
    </row>
    <row r="12" spans="2:15" x14ac:dyDescent="0.25">
      <c r="B12" s="39" t="s">
        <v>395</v>
      </c>
      <c r="C12" s="39">
        <v>90</v>
      </c>
      <c r="D12" s="39">
        <v>15</v>
      </c>
      <c r="E12" s="578" t="s">
        <v>941</v>
      </c>
      <c r="F12" s="578" t="s">
        <v>941</v>
      </c>
      <c r="G12" s="578" t="s">
        <v>941</v>
      </c>
      <c r="J12" s="39" t="s">
        <v>395</v>
      </c>
      <c r="K12" s="39">
        <v>90</v>
      </c>
      <c r="L12" s="39">
        <v>15</v>
      </c>
      <c r="M12" s="39" t="str">
        <f>IF(L12&lt;15,"günstig","teuer")</f>
        <v>teuer</v>
      </c>
      <c r="N12" s="39" t="str">
        <f>IF(K12&gt;90,"Überlänge","")</f>
        <v/>
      </c>
      <c r="O12" s="39" t="str">
        <f>IF(J12="A","LOGE","Parkett")</f>
        <v>LOGE</v>
      </c>
    </row>
    <row r="13" spans="2:15" x14ac:dyDescent="0.25">
      <c r="B13" s="39" t="s">
        <v>398</v>
      </c>
      <c r="C13" s="39">
        <v>90</v>
      </c>
      <c r="D13" s="39">
        <v>13</v>
      </c>
      <c r="E13" s="578" t="s">
        <v>941</v>
      </c>
      <c r="F13" s="578" t="s">
        <v>941</v>
      </c>
      <c r="G13" s="578" t="s">
        <v>941</v>
      </c>
      <c r="J13" s="39" t="s">
        <v>398</v>
      </c>
      <c r="K13" s="39">
        <v>90</v>
      </c>
      <c r="L13" s="39">
        <v>13</v>
      </c>
      <c r="M13" s="39" t="str">
        <f t="shared" ref="M13:M17" si="0">IF(L13&lt;15,"günstig","teuer")</f>
        <v>günstig</v>
      </c>
      <c r="N13" s="39" t="str">
        <f t="shared" ref="N13:N17" si="1">IF(K13&gt;90,"Überlänge","")</f>
        <v/>
      </c>
      <c r="O13" s="39" t="str">
        <f t="shared" ref="O13:O17" si="2">IF(J13="A","LOGE","Parkett")</f>
        <v>Parkett</v>
      </c>
    </row>
    <row r="14" spans="2:15" x14ac:dyDescent="0.25">
      <c r="B14" s="39" t="s">
        <v>399</v>
      </c>
      <c r="C14" s="39">
        <v>90</v>
      </c>
      <c r="D14" s="39">
        <v>11</v>
      </c>
      <c r="E14" s="578" t="s">
        <v>941</v>
      </c>
      <c r="F14" s="578" t="s">
        <v>941</v>
      </c>
      <c r="G14" s="578" t="s">
        <v>941</v>
      </c>
      <c r="J14" s="39" t="s">
        <v>399</v>
      </c>
      <c r="K14" s="39">
        <v>90</v>
      </c>
      <c r="L14" s="39">
        <v>11</v>
      </c>
      <c r="M14" s="39" t="str">
        <f t="shared" si="0"/>
        <v>günstig</v>
      </c>
      <c r="N14" s="39" t="str">
        <f t="shared" si="1"/>
        <v/>
      </c>
      <c r="O14" s="39" t="str">
        <f t="shared" si="2"/>
        <v>Parkett</v>
      </c>
    </row>
    <row r="15" spans="2:15" x14ac:dyDescent="0.25">
      <c r="B15" s="39" t="s">
        <v>395</v>
      </c>
      <c r="C15" s="39">
        <v>120</v>
      </c>
      <c r="D15" s="39">
        <v>17</v>
      </c>
      <c r="E15" s="578" t="s">
        <v>941</v>
      </c>
      <c r="F15" s="578" t="s">
        <v>941</v>
      </c>
      <c r="G15" s="578" t="s">
        <v>941</v>
      </c>
      <c r="J15" s="39" t="s">
        <v>395</v>
      </c>
      <c r="K15" s="39">
        <v>120</v>
      </c>
      <c r="L15" s="39">
        <v>17</v>
      </c>
      <c r="M15" s="39" t="str">
        <f t="shared" si="0"/>
        <v>teuer</v>
      </c>
      <c r="N15" s="39" t="str">
        <f t="shared" si="1"/>
        <v>Überlänge</v>
      </c>
      <c r="O15" s="39" t="str">
        <f t="shared" si="2"/>
        <v>LOGE</v>
      </c>
    </row>
    <row r="16" spans="2:15" x14ac:dyDescent="0.25">
      <c r="B16" s="39" t="s">
        <v>398</v>
      </c>
      <c r="C16" s="39">
        <v>120</v>
      </c>
      <c r="D16" s="39">
        <v>15</v>
      </c>
      <c r="E16" s="578" t="s">
        <v>941</v>
      </c>
      <c r="F16" s="578" t="s">
        <v>941</v>
      </c>
      <c r="G16" s="578" t="s">
        <v>941</v>
      </c>
      <c r="J16" s="39" t="s">
        <v>398</v>
      </c>
      <c r="K16" s="39">
        <v>120</v>
      </c>
      <c r="L16" s="39">
        <v>15</v>
      </c>
      <c r="M16" s="39" t="str">
        <f t="shared" si="0"/>
        <v>teuer</v>
      </c>
      <c r="N16" s="39" t="str">
        <f t="shared" si="1"/>
        <v>Überlänge</v>
      </c>
      <c r="O16" s="39" t="str">
        <f t="shared" si="2"/>
        <v>Parkett</v>
      </c>
    </row>
    <row r="17" spans="2:18" x14ac:dyDescent="0.25">
      <c r="B17" s="39" t="s">
        <v>399</v>
      </c>
      <c r="C17" s="39">
        <v>120</v>
      </c>
      <c r="D17" s="39">
        <v>13</v>
      </c>
      <c r="E17" s="578" t="s">
        <v>941</v>
      </c>
      <c r="F17" s="578" t="s">
        <v>941</v>
      </c>
      <c r="G17" s="578" t="s">
        <v>941</v>
      </c>
      <c r="J17" s="39" t="s">
        <v>399</v>
      </c>
      <c r="K17" s="39">
        <v>120</v>
      </c>
      <c r="L17" s="39">
        <v>13</v>
      </c>
      <c r="M17" s="39" t="str">
        <f t="shared" si="0"/>
        <v>günstig</v>
      </c>
      <c r="N17" s="39" t="str">
        <f t="shared" si="1"/>
        <v>Überlänge</v>
      </c>
      <c r="O17" s="39" t="str">
        <f t="shared" si="2"/>
        <v>Parkett</v>
      </c>
    </row>
    <row r="19" spans="2:18" x14ac:dyDescent="0.25">
      <c r="B19" s="40" t="s">
        <v>946</v>
      </c>
      <c r="J19" s="40" t="s">
        <v>946</v>
      </c>
    </row>
    <row r="20" spans="2:18" x14ac:dyDescent="0.25">
      <c r="B20" s="40" t="s">
        <v>947</v>
      </c>
      <c r="J20" s="40" t="s">
        <v>947</v>
      </c>
    </row>
    <row r="21" spans="2:18" x14ac:dyDescent="0.25">
      <c r="B21" s="40" t="s">
        <v>948</v>
      </c>
      <c r="J21" s="40" t="s">
        <v>948</v>
      </c>
    </row>
    <row r="23" spans="2:18" x14ac:dyDescent="0.25">
      <c r="J23" s="426" t="s">
        <v>949</v>
      </c>
    </row>
    <row r="24" spans="2:18" x14ac:dyDescent="0.25">
      <c r="J24" s="526" t="s">
        <v>1309</v>
      </c>
      <c r="K24" s="527"/>
      <c r="L24" s="527"/>
      <c r="M24" s="527"/>
      <c r="N24" s="527"/>
      <c r="O24" s="527"/>
      <c r="P24" s="527"/>
      <c r="Q24" s="527"/>
      <c r="R24" s="527"/>
    </row>
    <row r="25" spans="2:18" x14ac:dyDescent="0.25">
      <c r="J25" s="526" t="s">
        <v>950</v>
      </c>
      <c r="K25" s="527"/>
      <c r="L25" s="527"/>
      <c r="M25" s="527"/>
      <c r="N25" s="527"/>
      <c r="O25" s="527"/>
      <c r="P25" s="527"/>
      <c r="Q25" s="527"/>
      <c r="R25" s="527"/>
    </row>
    <row r="26" spans="2:18" x14ac:dyDescent="0.25">
      <c r="J26" s="526" t="s">
        <v>951</v>
      </c>
      <c r="K26" s="527"/>
      <c r="L26" s="527"/>
      <c r="M26" s="527"/>
      <c r="N26" s="527"/>
      <c r="O26" s="527"/>
      <c r="P26" s="527"/>
      <c r="Q26" s="527"/>
      <c r="R26" s="527"/>
    </row>
    <row r="27" spans="2:18" x14ac:dyDescent="0.25">
      <c r="B27" s="10"/>
      <c r="J27" s="526" t="s">
        <v>952</v>
      </c>
      <c r="K27" s="527"/>
      <c r="L27" s="527"/>
      <c r="M27" s="527"/>
      <c r="N27" s="527"/>
      <c r="O27" s="527"/>
      <c r="P27" s="527"/>
      <c r="Q27" s="527"/>
      <c r="R27" s="527"/>
    </row>
    <row r="28" spans="2:18" x14ac:dyDescent="0.25">
      <c r="B28" s="10"/>
    </row>
    <row r="29" spans="2:18" x14ac:dyDescent="0.25">
      <c r="B29" s="10" t="s">
        <v>967</v>
      </c>
      <c r="J29" s="10" t="s">
        <v>967</v>
      </c>
    </row>
    <row r="30" spans="2:18" ht="15.75" thickBot="1" x14ac:dyDescent="0.3">
      <c r="B30" t="s">
        <v>953</v>
      </c>
      <c r="J30" t="s">
        <v>953</v>
      </c>
    </row>
    <row r="31" spans="2:18" ht="15.75" thickBot="1" x14ac:dyDescent="0.3">
      <c r="B31" s="525" t="s">
        <v>955</v>
      </c>
      <c r="C31" s="528">
        <v>1000</v>
      </c>
      <c r="D31" s="529">
        <v>0.1</v>
      </c>
      <c r="E31" t="s">
        <v>954</v>
      </c>
      <c r="F31" s="530"/>
      <c r="G31" s="64" t="s">
        <v>1283</v>
      </c>
      <c r="J31" s="525" t="s">
        <v>955</v>
      </c>
      <c r="K31" s="528">
        <v>1000</v>
      </c>
      <c r="L31" s="529">
        <v>0.1</v>
      </c>
      <c r="M31" t="s">
        <v>954</v>
      </c>
      <c r="N31" s="530"/>
      <c r="O31" s="64" t="s">
        <v>962</v>
      </c>
    </row>
    <row r="32" spans="2:18" ht="15.75" thickBot="1" x14ac:dyDescent="0.3">
      <c r="B32" s="525" t="s">
        <v>956</v>
      </c>
      <c r="C32" s="524">
        <f>C31</f>
        <v>1000</v>
      </c>
      <c r="D32" s="529">
        <v>0.2</v>
      </c>
      <c r="E32" t="s">
        <v>954</v>
      </c>
      <c r="J32" s="525" t="s">
        <v>956</v>
      </c>
      <c r="K32" s="524">
        <f>K31</f>
        <v>1000</v>
      </c>
      <c r="L32" s="529">
        <v>0.2</v>
      </c>
      <c r="M32" t="s">
        <v>954</v>
      </c>
    </row>
    <row r="33" spans="2:14" ht="15.75" thickBot="1" x14ac:dyDescent="0.3">
      <c r="D33" s="531">
        <v>25</v>
      </c>
      <c r="E33" t="s">
        <v>963</v>
      </c>
      <c r="L33" s="531">
        <v>25</v>
      </c>
      <c r="M33" t="s">
        <v>963</v>
      </c>
    </row>
    <row r="34" spans="2:14" ht="15.75" thickBot="1" x14ac:dyDescent="0.3">
      <c r="C34" s="160" t="s">
        <v>961</v>
      </c>
      <c r="D34" s="160" t="s">
        <v>961</v>
      </c>
      <c r="E34" s="160" t="s">
        <v>961</v>
      </c>
      <c r="F34" s="600" t="s">
        <v>941</v>
      </c>
      <c r="G34" s="64" t="s">
        <v>1228</v>
      </c>
      <c r="K34" s="160" t="s">
        <v>961</v>
      </c>
      <c r="L34" s="160" t="s">
        <v>961</v>
      </c>
      <c r="M34" s="160" t="s">
        <v>961</v>
      </c>
    </row>
    <row r="35" spans="2:14" ht="15.75" thickBot="1" x14ac:dyDescent="0.3">
      <c r="B35" s="33"/>
      <c r="C35" s="160" t="s">
        <v>964</v>
      </c>
      <c r="D35" s="519" t="s">
        <v>965</v>
      </c>
      <c r="E35" s="519" t="s">
        <v>966</v>
      </c>
      <c r="J35" s="33"/>
      <c r="K35" s="160" t="s">
        <v>964</v>
      </c>
      <c r="L35" s="519" t="s">
        <v>965</v>
      </c>
      <c r="M35" s="519" t="s">
        <v>966</v>
      </c>
    </row>
    <row r="36" spans="2:14" ht="15.75" thickBot="1" x14ac:dyDescent="0.3">
      <c r="B36" s="51" t="s">
        <v>957</v>
      </c>
      <c r="C36" s="550">
        <v>1250</v>
      </c>
      <c r="D36" s="600" t="s">
        <v>941</v>
      </c>
      <c r="E36" s="600" t="s">
        <v>941</v>
      </c>
      <c r="J36" s="51" t="s">
        <v>957</v>
      </c>
      <c r="K36" s="550">
        <v>1250</v>
      </c>
      <c r="L36" s="534">
        <f>IF(K36&gt;$K$31,K36-K36*$L$31,K36-K36*$L$32)</f>
        <v>1125</v>
      </c>
      <c r="M36" s="534">
        <f>L36+$L$33</f>
        <v>1150</v>
      </c>
    </row>
    <row r="37" spans="2:14" ht="15.75" thickBot="1" x14ac:dyDescent="0.3">
      <c r="B37" s="51" t="s">
        <v>960</v>
      </c>
      <c r="C37" s="550">
        <v>779</v>
      </c>
      <c r="D37" s="600" t="s">
        <v>941</v>
      </c>
      <c r="E37" s="600" t="s">
        <v>941</v>
      </c>
      <c r="J37" s="51" t="s">
        <v>960</v>
      </c>
      <c r="K37" s="550">
        <v>779</v>
      </c>
      <c r="L37" s="534">
        <f t="shared" ref="L37:L39" si="3">IF(K37&gt;$K$31,K37-K37*$L$31,K37-K37*$L$32)</f>
        <v>623.20000000000005</v>
      </c>
      <c r="M37" s="534">
        <f t="shared" ref="M37:M39" si="4">L37+$L$33</f>
        <v>648.20000000000005</v>
      </c>
    </row>
    <row r="38" spans="2:14" ht="15.75" thickBot="1" x14ac:dyDescent="0.3">
      <c r="B38" s="51" t="s">
        <v>958</v>
      </c>
      <c r="C38" s="550">
        <v>998</v>
      </c>
      <c r="D38" s="600" t="s">
        <v>941</v>
      </c>
      <c r="E38" s="600" t="s">
        <v>941</v>
      </c>
      <c r="J38" s="51" t="s">
        <v>958</v>
      </c>
      <c r="K38" s="550">
        <v>998</v>
      </c>
      <c r="L38" s="534">
        <f t="shared" si="3"/>
        <v>798.4</v>
      </c>
      <c r="M38" s="534">
        <f t="shared" si="4"/>
        <v>823.4</v>
      </c>
    </row>
    <row r="39" spans="2:14" ht="15.75" thickBot="1" x14ac:dyDescent="0.3">
      <c r="B39" s="51" t="s">
        <v>959</v>
      </c>
      <c r="C39" s="550">
        <v>2200</v>
      </c>
      <c r="D39" s="600" t="s">
        <v>941</v>
      </c>
      <c r="E39" s="600" t="s">
        <v>941</v>
      </c>
      <c r="J39" s="51" t="s">
        <v>959</v>
      </c>
      <c r="K39" s="550">
        <v>2200</v>
      </c>
      <c r="L39" s="534">
        <f t="shared" si="3"/>
        <v>1980</v>
      </c>
      <c r="M39" s="534">
        <f t="shared" si="4"/>
        <v>2005</v>
      </c>
    </row>
    <row r="42" spans="2:14" x14ac:dyDescent="0.25">
      <c r="B42" s="10"/>
    </row>
    <row r="44" spans="2:14" x14ac:dyDescent="0.25">
      <c r="B44" s="426" t="s">
        <v>1279</v>
      </c>
      <c r="J44" s="426" t="s">
        <v>1279</v>
      </c>
    </row>
    <row r="46" spans="2:14" x14ac:dyDescent="0.25">
      <c r="C46" s="638" t="s">
        <v>939</v>
      </c>
      <c r="D46" s="639"/>
      <c r="E46" s="640"/>
      <c r="K46" s="638" t="s">
        <v>939</v>
      </c>
      <c r="L46" s="639"/>
      <c r="M46" s="640"/>
    </row>
    <row r="48" spans="2:14" x14ac:dyDescent="0.25">
      <c r="B48" s="39" t="s">
        <v>399</v>
      </c>
      <c r="C48" s="39" t="s">
        <v>399</v>
      </c>
      <c r="D48" s="39" t="s">
        <v>399</v>
      </c>
      <c r="E48" s="39" t="s">
        <v>399</v>
      </c>
      <c r="F48" s="39" t="s">
        <v>399</v>
      </c>
      <c r="J48" s="39" t="s">
        <v>399</v>
      </c>
      <c r="K48" s="39" t="s">
        <v>399</v>
      </c>
      <c r="L48" s="39" t="s">
        <v>399</v>
      </c>
      <c r="M48" s="39" t="s">
        <v>399</v>
      </c>
      <c r="N48" s="39" t="s">
        <v>399</v>
      </c>
    </row>
    <row r="49" spans="2:15" x14ac:dyDescent="0.25">
      <c r="B49" s="39" t="s">
        <v>399</v>
      </c>
      <c r="C49" s="39" t="s">
        <v>399</v>
      </c>
      <c r="D49" s="39" t="s">
        <v>399</v>
      </c>
      <c r="E49" s="39" t="s">
        <v>399</v>
      </c>
      <c r="F49" s="39" t="s">
        <v>399</v>
      </c>
      <c r="J49" s="39" t="s">
        <v>399</v>
      </c>
      <c r="K49" s="39" t="s">
        <v>399</v>
      </c>
      <c r="L49" s="39" t="s">
        <v>399</v>
      </c>
      <c r="M49" s="39" t="s">
        <v>399</v>
      </c>
      <c r="N49" s="39" t="s">
        <v>399</v>
      </c>
    </row>
    <row r="50" spans="2:15" x14ac:dyDescent="0.25">
      <c r="B50" s="39" t="s">
        <v>398</v>
      </c>
      <c r="C50" s="39" t="s">
        <v>398</v>
      </c>
      <c r="D50" s="39" t="s">
        <v>398</v>
      </c>
      <c r="E50" s="39" t="s">
        <v>398</v>
      </c>
      <c r="F50" s="39" t="s">
        <v>398</v>
      </c>
      <c r="J50" s="39" t="s">
        <v>398</v>
      </c>
      <c r="K50" s="39" t="s">
        <v>398</v>
      </c>
      <c r="L50" s="39" t="s">
        <v>398</v>
      </c>
      <c r="M50" s="39" t="s">
        <v>398</v>
      </c>
      <c r="N50" s="39" t="s">
        <v>398</v>
      </c>
    </row>
    <row r="51" spans="2:15" x14ac:dyDescent="0.25">
      <c r="B51" s="39" t="s">
        <v>398</v>
      </c>
      <c r="C51" s="39" t="s">
        <v>398</v>
      </c>
      <c r="D51" s="39" t="s">
        <v>398</v>
      </c>
      <c r="E51" s="39" t="s">
        <v>398</v>
      </c>
      <c r="F51" s="39" t="s">
        <v>398</v>
      </c>
      <c r="J51" s="39" t="s">
        <v>398</v>
      </c>
      <c r="K51" s="39" t="s">
        <v>398</v>
      </c>
      <c r="L51" s="39" t="s">
        <v>398</v>
      </c>
      <c r="M51" s="39" t="s">
        <v>398</v>
      </c>
      <c r="N51" s="39" t="s">
        <v>398</v>
      </c>
    </row>
    <row r="52" spans="2:15" x14ac:dyDescent="0.25">
      <c r="B52" s="39" t="s">
        <v>398</v>
      </c>
      <c r="C52" s="39" t="s">
        <v>398</v>
      </c>
      <c r="D52" s="39" t="s">
        <v>398</v>
      </c>
      <c r="E52" s="39" t="s">
        <v>398</v>
      </c>
      <c r="F52" s="39" t="s">
        <v>398</v>
      </c>
      <c r="J52" s="39" t="s">
        <v>398</v>
      </c>
      <c r="K52" s="39" t="s">
        <v>398</v>
      </c>
      <c r="L52" s="39" t="s">
        <v>398</v>
      </c>
      <c r="M52" s="39" t="s">
        <v>398</v>
      </c>
      <c r="N52" s="39" t="s">
        <v>398</v>
      </c>
    </row>
    <row r="53" spans="2:15" x14ac:dyDescent="0.25">
      <c r="B53" s="39" t="s">
        <v>395</v>
      </c>
      <c r="C53" s="39" t="s">
        <v>395</v>
      </c>
      <c r="D53" s="39" t="s">
        <v>395</v>
      </c>
      <c r="E53" s="39" t="s">
        <v>395</v>
      </c>
      <c r="F53" s="39" t="s">
        <v>395</v>
      </c>
      <c r="J53" s="39" t="s">
        <v>395</v>
      </c>
      <c r="K53" s="39" t="s">
        <v>395</v>
      </c>
      <c r="L53" s="39" t="s">
        <v>395</v>
      </c>
      <c r="M53" s="39" t="s">
        <v>395</v>
      </c>
      <c r="N53" s="39" t="s">
        <v>395</v>
      </c>
    </row>
    <row r="54" spans="2:15" x14ac:dyDescent="0.25">
      <c r="B54" s="39" t="s">
        <v>395</v>
      </c>
      <c r="C54" s="39" t="s">
        <v>395</v>
      </c>
      <c r="D54" s="39" t="s">
        <v>395</v>
      </c>
      <c r="E54" s="39" t="s">
        <v>395</v>
      </c>
      <c r="F54" s="39" t="s">
        <v>395</v>
      </c>
      <c r="J54" s="39" t="s">
        <v>395</v>
      </c>
      <c r="K54" s="39" t="s">
        <v>395</v>
      </c>
      <c r="L54" s="39" t="s">
        <v>395</v>
      </c>
      <c r="M54" s="39" t="s">
        <v>395</v>
      </c>
      <c r="N54" s="39" t="s">
        <v>395</v>
      </c>
    </row>
    <row r="55" spans="2:15" x14ac:dyDescent="0.25">
      <c r="B55" s="39" t="s">
        <v>395</v>
      </c>
      <c r="C55" s="39" t="s">
        <v>395</v>
      </c>
      <c r="D55" s="39" t="s">
        <v>395</v>
      </c>
      <c r="E55" s="39" t="s">
        <v>395</v>
      </c>
      <c r="F55" s="39" t="s">
        <v>395</v>
      </c>
      <c r="J55" s="39" t="s">
        <v>395</v>
      </c>
      <c r="K55" s="39" t="s">
        <v>395</v>
      </c>
      <c r="L55" s="39" t="s">
        <v>395</v>
      </c>
      <c r="M55" s="39" t="s">
        <v>395</v>
      </c>
      <c r="N55" s="39" t="s">
        <v>395</v>
      </c>
    </row>
    <row r="56" spans="2:15" x14ac:dyDescent="0.25">
      <c r="B56" s="39" t="s">
        <v>395</v>
      </c>
      <c r="C56" s="39" t="s">
        <v>395</v>
      </c>
      <c r="D56" s="39" t="s">
        <v>395</v>
      </c>
      <c r="E56" s="39" t="s">
        <v>395</v>
      </c>
      <c r="F56" s="39" t="s">
        <v>395</v>
      </c>
      <c r="J56" s="39" t="s">
        <v>395</v>
      </c>
      <c r="K56" s="39" t="s">
        <v>395</v>
      </c>
      <c r="L56" s="39" t="s">
        <v>395</v>
      </c>
      <c r="M56" s="39" t="s">
        <v>395</v>
      </c>
      <c r="N56" s="39" t="s">
        <v>395</v>
      </c>
    </row>
    <row r="58" spans="2:15" ht="15.75" thickBot="1" x14ac:dyDescent="0.3"/>
    <row r="59" spans="2:15" ht="15.75" thickBot="1" x14ac:dyDescent="0.3">
      <c r="B59" s="40" t="s">
        <v>943</v>
      </c>
      <c r="E59" s="600" t="s">
        <v>941</v>
      </c>
      <c r="J59" s="40" t="s">
        <v>943</v>
      </c>
      <c r="N59" s="533">
        <f>COUNTIF(J48:N56,"C")</f>
        <v>10</v>
      </c>
      <c r="O59" s="64"/>
    </row>
    <row r="60" spans="2:15" ht="15.75" thickBot="1" x14ac:dyDescent="0.3">
      <c r="B60" s="40" t="s">
        <v>942</v>
      </c>
      <c r="E60" s="600" t="s">
        <v>941</v>
      </c>
      <c r="J60" s="40" t="s">
        <v>942</v>
      </c>
      <c r="N60" s="533">
        <f>COUNTIF(J48:N56,"B")</f>
        <v>15</v>
      </c>
    </row>
    <row r="61" spans="2:15" ht="15.75" thickBot="1" x14ac:dyDescent="0.3">
      <c r="B61" s="40" t="s">
        <v>940</v>
      </c>
      <c r="E61" s="600" t="s">
        <v>941</v>
      </c>
      <c r="J61" s="40" t="s">
        <v>940</v>
      </c>
      <c r="N61" s="533">
        <f>COUNTIF(J48:N56,"A")</f>
        <v>20</v>
      </c>
    </row>
    <row r="64" spans="2:15" x14ac:dyDescent="0.25">
      <c r="B64" s="39">
        <v>1</v>
      </c>
      <c r="C64" s="39">
        <v>2</v>
      </c>
      <c r="D64" s="39">
        <v>3</v>
      </c>
      <c r="E64" s="39">
        <v>4</v>
      </c>
      <c r="F64" s="39">
        <v>5</v>
      </c>
      <c r="J64" s="39">
        <v>1</v>
      </c>
      <c r="K64" s="39">
        <v>2</v>
      </c>
      <c r="L64" s="39">
        <v>3</v>
      </c>
      <c r="M64" s="39">
        <v>4</v>
      </c>
      <c r="N64" s="39">
        <v>5</v>
      </c>
    </row>
    <row r="65" spans="2:15" x14ac:dyDescent="0.25">
      <c r="B65" s="39">
        <v>1</v>
      </c>
      <c r="C65" s="39">
        <v>2</v>
      </c>
      <c r="D65" s="39">
        <v>4</v>
      </c>
      <c r="E65" s="39">
        <v>4</v>
      </c>
      <c r="F65" s="39">
        <v>3</v>
      </c>
      <c r="J65" s="39">
        <v>1</v>
      </c>
      <c r="K65" s="39">
        <v>2</v>
      </c>
      <c r="L65" s="39">
        <v>4</v>
      </c>
      <c r="M65" s="39">
        <v>4</v>
      </c>
      <c r="N65" s="39">
        <v>3</v>
      </c>
    </row>
    <row r="66" spans="2:15" x14ac:dyDescent="0.25">
      <c r="B66" s="39">
        <v>2</v>
      </c>
      <c r="C66" s="39">
        <v>2</v>
      </c>
      <c r="D66" s="39">
        <v>2</v>
      </c>
      <c r="E66" s="39">
        <v>5</v>
      </c>
      <c r="F66" s="39">
        <v>5</v>
      </c>
      <c r="J66" s="39">
        <v>2</v>
      </c>
      <c r="K66" s="39">
        <v>2</v>
      </c>
      <c r="L66" s="39">
        <v>2</v>
      </c>
      <c r="M66" s="39">
        <v>5</v>
      </c>
      <c r="N66" s="39">
        <v>5</v>
      </c>
    </row>
    <row r="67" spans="2:15" x14ac:dyDescent="0.25">
      <c r="B67" s="39">
        <v>2</v>
      </c>
      <c r="C67" s="39">
        <v>1</v>
      </c>
      <c r="D67" s="39">
        <v>2</v>
      </c>
      <c r="E67" s="39">
        <v>1</v>
      </c>
      <c r="F67" s="39">
        <v>1</v>
      </c>
      <c r="J67" s="39">
        <v>2</v>
      </c>
      <c r="K67" s="39">
        <v>1</v>
      </c>
      <c r="L67" s="39">
        <v>2</v>
      </c>
      <c r="M67" s="39">
        <v>1</v>
      </c>
      <c r="N67" s="39">
        <v>1</v>
      </c>
    </row>
    <row r="68" spans="2:15" ht="15.75" thickBot="1" x14ac:dyDescent="0.3"/>
    <row r="69" spans="2:15" ht="15.75" thickBot="1" x14ac:dyDescent="0.3">
      <c r="B69" t="s">
        <v>944</v>
      </c>
      <c r="E69" s="600" t="s">
        <v>941</v>
      </c>
      <c r="J69" t="s">
        <v>944</v>
      </c>
      <c r="N69" s="533">
        <f>COUNTIF(J64:N67,1)</f>
        <v>5</v>
      </c>
      <c r="O69" s="64"/>
    </row>
    <row r="70" spans="2:15" ht="15.75" thickBot="1" x14ac:dyDescent="0.3">
      <c r="B70" t="s">
        <v>945</v>
      </c>
      <c r="E70" s="600" t="s">
        <v>941</v>
      </c>
      <c r="J70" t="s">
        <v>945</v>
      </c>
      <c r="N70" s="533">
        <f>COUNTIF(J64:N67,2)</f>
        <v>7</v>
      </c>
    </row>
    <row r="76" spans="2:15" x14ac:dyDescent="0.25">
      <c r="B76" s="10" t="s">
        <v>968</v>
      </c>
      <c r="J76" s="10" t="s">
        <v>968</v>
      </c>
    </row>
    <row r="78" spans="2:15" x14ac:dyDescent="0.25">
      <c r="B78" t="s">
        <v>969</v>
      </c>
      <c r="J78" t="s">
        <v>969</v>
      </c>
    </row>
    <row r="79" spans="2:15" x14ac:dyDescent="0.25">
      <c r="B79" s="10" t="s">
        <v>423</v>
      </c>
      <c r="J79" s="10" t="s">
        <v>423</v>
      </c>
    </row>
    <row r="80" spans="2:15" x14ac:dyDescent="0.25">
      <c r="B80" s="33"/>
      <c r="C80" s="641" t="s">
        <v>976</v>
      </c>
      <c r="D80" s="641"/>
      <c r="J80" s="33"/>
      <c r="K80" s="641" t="s">
        <v>976</v>
      </c>
      <c r="L80" s="641"/>
    </row>
    <row r="81" spans="2:13" x14ac:dyDescent="0.25">
      <c r="B81" s="160" t="s">
        <v>970</v>
      </c>
      <c r="C81" s="160" t="s">
        <v>977</v>
      </c>
      <c r="D81" s="160" t="s">
        <v>257</v>
      </c>
      <c r="J81" s="160" t="s">
        <v>970</v>
      </c>
      <c r="K81" s="160" t="s">
        <v>977</v>
      </c>
      <c r="L81" s="160" t="s">
        <v>257</v>
      </c>
    </row>
    <row r="82" spans="2:13" x14ac:dyDescent="0.25">
      <c r="B82" s="33" t="s">
        <v>971</v>
      </c>
      <c r="C82" s="39">
        <v>54</v>
      </c>
      <c r="D82" s="89">
        <f>C82*0.5</f>
        <v>27</v>
      </c>
      <c r="J82" s="33" t="s">
        <v>971</v>
      </c>
      <c r="K82" s="39">
        <v>54</v>
      </c>
      <c r="L82" s="89">
        <f>K82*0.5</f>
        <v>27</v>
      </c>
    </row>
    <row r="83" spans="2:13" x14ac:dyDescent="0.25">
      <c r="B83" s="33" t="s">
        <v>975</v>
      </c>
      <c r="C83" s="39">
        <v>33</v>
      </c>
      <c r="D83" s="89">
        <f>C83*0.5</f>
        <v>16.5</v>
      </c>
      <c r="J83" s="33" t="s">
        <v>975</v>
      </c>
      <c r="K83" s="39">
        <v>33</v>
      </c>
      <c r="L83" s="89">
        <f>K83*0.5</f>
        <v>16.5</v>
      </c>
    </row>
    <row r="84" spans="2:13" x14ac:dyDescent="0.25">
      <c r="B84" s="33" t="s">
        <v>972</v>
      </c>
      <c r="C84" s="39">
        <v>12</v>
      </c>
      <c r="D84" s="89">
        <f>C84*0.2</f>
        <v>2.4000000000000004</v>
      </c>
      <c r="J84" s="33" t="s">
        <v>972</v>
      </c>
      <c r="K84" s="39">
        <v>12</v>
      </c>
      <c r="L84" s="89">
        <f>K84*0.2</f>
        <v>2.4000000000000004</v>
      </c>
    </row>
    <row r="85" spans="2:13" x14ac:dyDescent="0.25">
      <c r="B85" s="33" t="s">
        <v>973</v>
      </c>
      <c r="C85" s="39">
        <v>88</v>
      </c>
      <c r="D85" s="89">
        <f>C85*0.25</f>
        <v>22</v>
      </c>
      <c r="J85" s="33" t="s">
        <v>973</v>
      </c>
      <c r="K85" s="39">
        <v>88</v>
      </c>
      <c r="L85" s="89">
        <f>K85*0.25</f>
        <v>22</v>
      </c>
    </row>
    <row r="86" spans="2:13" x14ac:dyDescent="0.25">
      <c r="B86" s="33" t="s">
        <v>974</v>
      </c>
      <c r="C86" s="39">
        <v>23</v>
      </c>
      <c r="D86" s="89">
        <f>C86*0.5</f>
        <v>11.5</v>
      </c>
      <c r="J86" s="33" t="s">
        <v>974</v>
      </c>
      <c r="K86" s="39">
        <v>23</v>
      </c>
      <c r="L86" s="89">
        <f>K86*0.5</f>
        <v>11.5</v>
      </c>
    </row>
    <row r="87" spans="2:13" x14ac:dyDescent="0.25">
      <c r="B87" s="33" t="s">
        <v>975</v>
      </c>
      <c r="C87" s="39">
        <v>65</v>
      </c>
      <c r="D87" s="89">
        <f>C87*0.6</f>
        <v>39</v>
      </c>
      <c r="J87" s="33" t="s">
        <v>975</v>
      </c>
      <c r="K87" s="39">
        <v>65</v>
      </c>
      <c r="L87" s="89">
        <f>K87*0.6</f>
        <v>39</v>
      </c>
    </row>
    <row r="88" spans="2:13" x14ac:dyDescent="0.25">
      <c r="B88" s="33" t="s">
        <v>971</v>
      </c>
      <c r="C88" s="39">
        <v>87</v>
      </c>
      <c r="D88" s="89">
        <f>C88*0.5</f>
        <v>43.5</v>
      </c>
      <c r="J88" s="33" t="s">
        <v>971</v>
      </c>
      <c r="K88" s="39">
        <v>87</v>
      </c>
      <c r="L88" s="89">
        <f>K88*0.5</f>
        <v>43.5</v>
      </c>
    </row>
    <row r="89" spans="2:13" x14ac:dyDescent="0.25">
      <c r="B89" s="33" t="s">
        <v>975</v>
      </c>
      <c r="C89" s="39">
        <v>55</v>
      </c>
      <c r="D89" s="89">
        <f>C89*0.5</f>
        <v>27.5</v>
      </c>
      <c r="J89" s="33" t="s">
        <v>975</v>
      </c>
      <c r="K89" s="39">
        <v>55</v>
      </c>
      <c r="L89" s="89">
        <f>K89*0.5</f>
        <v>27.5</v>
      </c>
    </row>
    <row r="90" spans="2:13" x14ac:dyDescent="0.25">
      <c r="B90" s="33" t="s">
        <v>972</v>
      </c>
      <c r="C90" s="39">
        <v>147</v>
      </c>
      <c r="D90" s="89">
        <f>C90*0.2</f>
        <v>29.400000000000002</v>
      </c>
      <c r="J90" s="33" t="s">
        <v>972</v>
      </c>
      <c r="K90" s="39">
        <v>147</v>
      </c>
      <c r="L90" s="89">
        <f>K90*0.2</f>
        <v>29.400000000000002</v>
      </c>
    </row>
    <row r="91" spans="2:13" ht="15.75" thickBot="1" x14ac:dyDescent="0.3">
      <c r="B91" s="33" t="s">
        <v>973</v>
      </c>
      <c r="C91" s="39">
        <v>44</v>
      </c>
      <c r="D91" s="89">
        <f>C91*0.25</f>
        <v>11</v>
      </c>
      <c r="J91" s="33" t="s">
        <v>973</v>
      </c>
      <c r="K91" s="39">
        <v>44</v>
      </c>
      <c r="L91" s="89">
        <f>K91*0.25</f>
        <v>11</v>
      </c>
    </row>
    <row r="92" spans="2:13" ht="15.75" thickBot="1" x14ac:dyDescent="0.3">
      <c r="B92" s="33" t="s">
        <v>971</v>
      </c>
      <c r="C92" s="39">
        <v>58</v>
      </c>
      <c r="D92" s="89">
        <f>C92*0.5</f>
        <v>29</v>
      </c>
      <c r="F92" s="600" t="s">
        <v>941</v>
      </c>
      <c r="G92" s="64" t="s">
        <v>1281</v>
      </c>
      <c r="J92" s="33" t="s">
        <v>971</v>
      </c>
      <c r="K92" s="39">
        <v>58</v>
      </c>
      <c r="L92" s="89">
        <f>K92*0.5</f>
        <v>29</v>
      </c>
    </row>
    <row r="93" spans="2:13" ht="15.75" thickBot="1" x14ac:dyDescent="0.3"/>
    <row r="94" spans="2:13" ht="15.75" thickBot="1" x14ac:dyDescent="0.3">
      <c r="B94" t="s">
        <v>978</v>
      </c>
      <c r="E94" s="600" t="s">
        <v>941</v>
      </c>
      <c r="J94" t="s">
        <v>978</v>
      </c>
      <c r="M94" s="533">
        <f>SUMIF(J82:J92,"Apfel rot",K82:K92)</f>
        <v>199</v>
      </c>
    </row>
    <row r="95" spans="2:13" ht="15.75" thickBot="1" x14ac:dyDescent="0.3">
      <c r="B95" t="s">
        <v>979</v>
      </c>
      <c r="E95" s="600" t="s">
        <v>941</v>
      </c>
      <c r="J95" t="s">
        <v>979</v>
      </c>
      <c r="M95" s="534">
        <f>SUMIF(J82:J92,"Zitrone",L82:L92)</f>
        <v>33</v>
      </c>
    </row>
    <row r="97" spans="2:15" x14ac:dyDescent="0.25">
      <c r="B97" s="10" t="s">
        <v>1272</v>
      </c>
      <c r="J97" s="10" t="s">
        <v>1272</v>
      </c>
    </row>
    <row r="98" spans="2:15" x14ac:dyDescent="0.25">
      <c r="B98" s="33"/>
      <c r="C98" s="641" t="s">
        <v>976</v>
      </c>
      <c r="D98" s="641"/>
      <c r="J98" s="33"/>
      <c r="K98" s="641" t="s">
        <v>976</v>
      </c>
      <c r="L98" s="641"/>
    </row>
    <row r="99" spans="2:15" ht="15.75" thickBot="1" x14ac:dyDescent="0.3">
      <c r="B99" s="519" t="s">
        <v>970</v>
      </c>
      <c r="C99" s="160" t="s">
        <v>977</v>
      </c>
      <c r="D99" s="160" t="s">
        <v>257</v>
      </c>
      <c r="J99" s="519" t="s">
        <v>970</v>
      </c>
      <c r="K99" s="160" t="s">
        <v>977</v>
      </c>
      <c r="L99" s="160" t="s">
        <v>257</v>
      </c>
    </row>
    <row r="100" spans="2:15" ht="15.75" thickBot="1" x14ac:dyDescent="0.3">
      <c r="B100" s="317" t="s">
        <v>975</v>
      </c>
      <c r="C100" s="600" t="s">
        <v>941</v>
      </c>
      <c r="D100" s="600" t="s">
        <v>941</v>
      </c>
      <c r="F100" s="530"/>
      <c r="G100" s="64" t="s">
        <v>1282</v>
      </c>
      <c r="J100" s="317" t="s">
        <v>975</v>
      </c>
      <c r="K100" s="598">
        <f>SUMIF(J82:J92,J100,K82:K92)</f>
        <v>153</v>
      </c>
      <c r="L100" s="599">
        <f>SUMIF(J82:J92,J100,L82:L92)</f>
        <v>83</v>
      </c>
      <c r="N100" s="530"/>
      <c r="O100" s="64" t="s">
        <v>1282</v>
      </c>
    </row>
    <row r="102" spans="2:15" x14ac:dyDescent="0.25">
      <c r="B102" t="s">
        <v>980</v>
      </c>
      <c r="J102" t="s">
        <v>980</v>
      </c>
    </row>
    <row r="103" spans="2:15" x14ac:dyDescent="0.25">
      <c r="B103" t="s">
        <v>981</v>
      </c>
      <c r="J103" t="s">
        <v>981</v>
      </c>
    </row>
    <row r="105" spans="2:15" x14ac:dyDescent="0.25">
      <c r="B105" s="10" t="s">
        <v>984</v>
      </c>
      <c r="J105" s="10" t="s">
        <v>984</v>
      </c>
    </row>
    <row r="106" spans="2:15" ht="45" customHeight="1" x14ac:dyDescent="0.25">
      <c r="B106" s="642" t="s">
        <v>985</v>
      </c>
      <c r="C106" s="642"/>
      <c r="D106" s="642"/>
      <c r="E106" s="642"/>
      <c r="F106" s="642"/>
      <c r="G106" s="642"/>
      <c r="J106" s="642" t="s">
        <v>985</v>
      </c>
      <c r="K106" s="642"/>
      <c r="L106" s="642"/>
      <c r="M106" s="642"/>
      <c r="N106" s="642"/>
      <c r="O106" s="642"/>
    </row>
    <row r="108" spans="2:15" x14ac:dyDescent="0.25">
      <c r="B108" t="s">
        <v>983</v>
      </c>
      <c r="J108" t="s">
        <v>983</v>
      </c>
    </row>
    <row r="109" spans="2:15" x14ac:dyDescent="0.25">
      <c r="B109" t="s">
        <v>982</v>
      </c>
      <c r="J109" t="s">
        <v>982</v>
      </c>
    </row>
    <row r="114" spans="2:12" x14ac:dyDescent="0.25">
      <c r="B114" s="10" t="s">
        <v>1037</v>
      </c>
      <c r="J114" s="10" t="s">
        <v>1037</v>
      </c>
    </row>
    <row r="116" spans="2:12" ht="15.75" thickBot="1" x14ac:dyDescent="0.3">
      <c r="B116" s="160" t="s">
        <v>1025</v>
      </c>
      <c r="C116" s="519" t="s">
        <v>1026</v>
      </c>
      <c r="J116" s="160" t="s">
        <v>1025</v>
      </c>
      <c r="K116" s="519" t="s">
        <v>1026</v>
      </c>
    </row>
    <row r="117" spans="2:12" ht="15.75" thickBot="1" x14ac:dyDescent="0.3">
      <c r="B117" s="523">
        <v>1</v>
      </c>
      <c r="C117" s="600" t="s">
        <v>941</v>
      </c>
      <c r="D117" s="64"/>
      <c r="J117" s="523">
        <v>1</v>
      </c>
      <c r="K117" s="533" t="str">
        <f>IF(J117=1,"Ja",IF(J117=2,"Nein","Vielleicht"))</f>
        <v>Ja</v>
      </c>
      <c r="L117" s="64"/>
    </row>
    <row r="118" spans="2:12" ht="15.75" thickBot="1" x14ac:dyDescent="0.3">
      <c r="B118" s="523">
        <v>3</v>
      </c>
      <c r="C118" s="600" t="s">
        <v>941</v>
      </c>
      <c r="J118" s="523">
        <v>3</v>
      </c>
      <c r="K118" s="533" t="str">
        <f>IF(J118=1,"Ja",IF(J118=2,"Nein","Vielleicht"))</f>
        <v>Vielleicht</v>
      </c>
    </row>
    <row r="120" spans="2:12" x14ac:dyDescent="0.25">
      <c r="B120" s="10" t="s">
        <v>1031</v>
      </c>
      <c r="J120" s="10" t="s">
        <v>1031</v>
      </c>
    </row>
    <row r="121" spans="2:12" x14ac:dyDescent="0.25">
      <c r="B121" t="s">
        <v>1027</v>
      </c>
      <c r="J121" t="s">
        <v>1027</v>
      </c>
    </row>
    <row r="122" spans="2:12" x14ac:dyDescent="0.25">
      <c r="B122" s="9" t="s">
        <v>1028</v>
      </c>
      <c r="J122" s="9" t="s">
        <v>1028</v>
      </c>
    </row>
    <row r="123" spans="2:12" x14ac:dyDescent="0.25">
      <c r="B123" s="9" t="s">
        <v>1029</v>
      </c>
      <c r="J123" s="9" t="s">
        <v>1029</v>
      </c>
    </row>
    <row r="124" spans="2:12" x14ac:dyDescent="0.25">
      <c r="B124" s="9" t="s">
        <v>1030</v>
      </c>
      <c r="J124" s="9" t="s">
        <v>1030</v>
      </c>
    </row>
    <row r="126" spans="2:12" x14ac:dyDescent="0.25">
      <c r="B126" s="40" t="s">
        <v>1036</v>
      </c>
      <c r="J126" s="40" t="s">
        <v>1036</v>
      </c>
    </row>
    <row r="127" spans="2:12" x14ac:dyDescent="0.25">
      <c r="B127" s="9"/>
      <c r="J127" s="9"/>
    </row>
    <row r="128" spans="2:12" x14ac:dyDescent="0.25">
      <c r="B128" s="9" t="s">
        <v>1041</v>
      </c>
      <c r="J128" s="9" t="s">
        <v>1041</v>
      </c>
    </row>
    <row r="132" spans="2:2" x14ac:dyDescent="0.25">
      <c r="B132" s="10" t="s">
        <v>1154</v>
      </c>
    </row>
    <row r="134" spans="2:2" x14ac:dyDescent="0.25">
      <c r="B134" t="s">
        <v>1155</v>
      </c>
    </row>
  </sheetData>
  <mergeCells count="8">
    <mergeCell ref="C46:E46"/>
    <mergeCell ref="K46:M46"/>
    <mergeCell ref="C80:D80"/>
    <mergeCell ref="C98:D98"/>
    <mergeCell ref="B106:G106"/>
    <mergeCell ref="K80:L80"/>
    <mergeCell ref="K98:L98"/>
    <mergeCell ref="J106:O106"/>
  </mergeCells>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I43"/>
  <sheetViews>
    <sheetView zoomScaleNormal="100" workbookViewId="0"/>
  </sheetViews>
  <sheetFormatPr baseColWidth="10" defaultColWidth="11.42578125" defaultRowHeight="15" x14ac:dyDescent="0.25"/>
  <cols>
    <col min="1" max="1" width="23.28515625" customWidth="1"/>
    <col min="2" max="5" width="11.5703125" bestFit="1" customWidth="1"/>
    <col min="6" max="6" width="12.140625" bestFit="1" customWidth="1"/>
    <col min="9" max="9" width="12.85546875" customWidth="1"/>
  </cols>
  <sheetData>
    <row r="1" spans="1:6" ht="21" x14ac:dyDescent="0.35">
      <c r="A1" s="162" t="s">
        <v>310</v>
      </c>
      <c r="B1" s="618" t="s">
        <v>1301</v>
      </c>
      <c r="C1" s="615"/>
      <c r="D1" s="615"/>
    </row>
    <row r="3" spans="1:6" x14ac:dyDescent="0.25">
      <c r="A3" s="300" t="s">
        <v>808</v>
      </c>
    </row>
    <row r="5" spans="1:6" ht="22.5" customHeight="1" x14ac:dyDescent="0.25">
      <c r="B5" s="399" t="s">
        <v>311</v>
      </c>
      <c r="C5" s="399" t="s">
        <v>312</v>
      </c>
      <c r="D5" s="399" t="s">
        <v>313</v>
      </c>
      <c r="E5" s="399" t="s">
        <v>314</v>
      </c>
    </row>
    <row r="6" spans="1:6" x14ac:dyDescent="0.25">
      <c r="A6" t="s">
        <v>315</v>
      </c>
      <c r="B6">
        <v>11967</v>
      </c>
      <c r="C6">
        <v>8364</v>
      </c>
      <c r="D6">
        <v>14489</v>
      </c>
      <c r="E6">
        <v>20989</v>
      </c>
    </row>
    <row r="7" spans="1:6" x14ac:dyDescent="0.25">
      <c r="A7" t="s">
        <v>316</v>
      </c>
      <c r="B7">
        <v>6749</v>
      </c>
      <c r="C7">
        <v>7902</v>
      </c>
      <c r="D7">
        <v>8898</v>
      </c>
      <c r="E7">
        <v>9789</v>
      </c>
    </row>
    <row r="8" spans="1:6" x14ac:dyDescent="0.25">
      <c r="A8" t="s">
        <v>317</v>
      </c>
      <c r="B8">
        <v>21497</v>
      </c>
      <c r="C8">
        <v>18702</v>
      </c>
      <c r="D8">
        <v>17509</v>
      </c>
      <c r="E8">
        <v>14993</v>
      </c>
    </row>
    <row r="9" spans="1:6" x14ac:dyDescent="0.25">
      <c r="A9" t="s">
        <v>318</v>
      </c>
      <c r="B9">
        <v>19789</v>
      </c>
      <c r="C9">
        <v>21649</v>
      </c>
      <c r="D9">
        <v>21411</v>
      </c>
      <c r="E9">
        <v>23401</v>
      </c>
    </row>
    <row r="10" spans="1:6" x14ac:dyDescent="0.25">
      <c r="A10" t="s">
        <v>319</v>
      </c>
      <c r="B10">
        <v>8894</v>
      </c>
      <c r="C10">
        <v>12092</v>
      </c>
      <c r="D10">
        <v>15003</v>
      </c>
      <c r="E10">
        <v>13406</v>
      </c>
    </row>
    <row r="11" spans="1:6" x14ac:dyDescent="0.25">
      <c r="A11" s="383"/>
      <c r="B11" s="383"/>
      <c r="C11" s="383"/>
      <c r="D11" s="383"/>
      <c r="E11" s="383"/>
    </row>
    <row r="12" spans="1:6" x14ac:dyDescent="0.25">
      <c r="A12" s="383"/>
      <c r="B12" s="383"/>
      <c r="C12" s="400"/>
      <c r="D12" s="400"/>
      <c r="E12" s="400"/>
      <c r="F12" s="383"/>
    </row>
    <row r="13" spans="1:6" x14ac:dyDescent="0.25">
      <c r="A13" s="383"/>
      <c r="B13" s="401"/>
      <c r="C13" s="401"/>
      <c r="D13" s="401"/>
      <c r="E13" s="401"/>
    </row>
    <row r="15" spans="1:6" x14ac:dyDescent="0.25">
      <c r="A15" t="s">
        <v>383</v>
      </c>
    </row>
    <row r="16" spans="1:6" x14ac:dyDescent="0.25">
      <c r="A16" t="s">
        <v>384</v>
      </c>
    </row>
    <row r="17" spans="1:9" x14ac:dyDescent="0.25">
      <c r="A17" t="s">
        <v>385</v>
      </c>
    </row>
    <row r="18" spans="1:9" x14ac:dyDescent="0.25">
      <c r="A18" t="s">
        <v>386</v>
      </c>
    </row>
    <row r="19" spans="1:9" ht="30" customHeight="1" x14ac:dyDescent="0.25">
      <c r="A19" s="642" t="s">
        <v>803</v>
      </c>
      <c r="B19" s="642"/>
      <c r="C19" s="642"/>
      <c r="D19" s="642"/>
      <c r="E19" s="642"/>
      <c r="F19" s="642"/>
      <c r="G19" s="642"/>
      <c r="H19" s="642"/>
      <c r="I19" s="642"/>
    </row>
    <row r="20" spans="1:9" x14ac:dyDescent="0.25">
      <c r="A20" t="s">
        <v>802</v>
      </c>
    </row>
    <row r="21" spans="1:9" x14ac:dyDescent="0.25">
      <c r="A21" t="s">
        <v>801</v>
      </c>
    </row>
    <row r="22" spans="1:9" x14ac:dyDescent="0.25">
      <c r="A22" t="s">
        <v>387</v>
      </c>
    </row>
    <row r="23" spans="1:9" ht="30" customHeight="1" x14ac:dyDescent="0.25">
      <c r="A23" s="642" t="s">
        <v>800</v>
      </c>
      <c r="B23" s="642"/>
      <c r="C23" s="642"/>
      <c r="D23" s="642"/>
      <c r="E23" s="642"/>
      <c r="F23" s="642"/>
      <c r="G23" s="642"/>
      <c r="H23" s="642"/>
      <c r="I23" s="642"/>
    </row>
    <row r="24" spans="1:9" ht="15.75" thickBot="1" x14ac:dyDescent="0.3">
      <c r="A24" t="s">
        <v>388</v>
      </c>
    </row>
    <row r="25" spans="1:9" x14ac:dyDescent="0.25">
      <c r="A25" s="103"/>
      <c r="B25" s="104"/>
      <c r="C25" s="104"/>
      <c r="D25" s="104"/>
      <c r="E25" s="104"/>
      <c r="F25" s="104"/>
      <c r="G25" s="104"/>
      <c r="H25" s="105"/>
    </row>
    <row r="26" spans="1:9" x14ac:dyDescent="0.25">
      <c r="A26" s="106"/>
      <c r="H26" s="107"/>
    </row>
    <row r="27" spans="1:9" x14ac:dyDescent="0.25">
      <c r="A27" s="106"/>
      <c r="H27" s="107"/>
    </row>
    <row r="28" spans="1:9" x14ac:dyDescent="0.25">
      <c r="A28" s="106"/>
      <c r="H28" s="107"/>
    </row>
    <row r="29" spans="1:9" x14ac:dyDescent="0.25">
      <c r="A29" s="106"/>
      <c r="H29" s="107"/>
    </row>
    <row r="30" spans="1:9" x14ac:dyDescent="0.25">
      <c r="A30" s="106"/>
      <c r="H30" s="107"/>
    </row>
    <row r="31" spans="1:9" x14ac:dyDescent="0.25">
      <c r="A31" s="106"/>
      <c r="H31" s="107"/>
    </row>
    <row r="32" spans="1:9" x14ac:dyDescent="0.25">
      <c r="A32" s="106"/>
      <c r="H32" s="107"/>
    </row>
    <row r="33" spans="1:8" x14ac:dyDescent="0.25">
      <c r="A33" s="106"/>
      <c r="C33" t="s">
        <v>792</v>
      </c>
      <c r="H33" s="107"/>
    </row>
    <row r="34" spans="1:8" x14ac:dyDescent="0.25">
      <c r="A34" s="106"/>
      <c r="H34" s="107"/>
    </row>
    <row r="35" spans="1:8" x14ac:dyDescent="0.25">
      <c r="A35" s="106"/>
      <c r="H35" s="107"/>
    </row>
    <row r="36" spans="1:8" x14ac:dyDescent="0.25">
      <c r="A36" s="106"/>
      <c r="H36" s="107"/>
    </row>
    <row r="37" spans="1:8" x14ac:dyDescent="0.25">
      <c r="A37" s="106"/>
      <c r="H37" s="107"/>
    </row>
    <row r="38" spans="1:8" x14ac:dyDescent="0.25">
      <c r="A38" s="106"/>
      <c r="H38" s="107"/>
    </row>
    <row r="39" spans="1:8" x14ac:dyDescent="0.25">
      <c r="A39" s="106"/>
      <c r="H39" s="107"/>
    </row>
    <row r="40" spans="1:8" x14ac:dyDescent="0.25">
      <c r="A40" s="106"/>
      <c r="H40" s="107"/>
    </row>
    <row r="41" spans="1:8" x14ac:dyDescent="0.25">
      <c r="A41" s="106"/>
      <c r="H41" s="107"/>
    </row>
    <row r="42" spans="1:8" x14ac:dyDescent="0.25">
      <c r="A42" s="106"/>
      <c r="H42" s="107"/>
    </row>
    <row r="43" spans="1:8" ht="15.75" thickBot="1" x14ac:dyDescent="0.3">
      <c r="A43" s="108"/>
      <c r="B43" s="109"/>
      <c r="C43" s="109"/>
      <c r="D43" s="109"/>
      <c r="E43" s="109"/>
      <c r="F43" s="109"/>
      <c r="G43" s="109"/>
      <c r="H43" s="110"/>
    </row>
  </sheetData>
  <mergeCells count="2">
    <mergeCell ref="A19:I19"/>
    <mergeCell ref="A23:I23"/>
  </mergeCells>
  <pageMargins left="0.70866141732283472" right="0.70866141732283472" top="0.78740157480314965" bottom="0.78740157480314965" header="0.31496062992125984" footer="0.31496062992125984"/>
  <pageSetup paperSize="9" scale="74" orientation="portrait" r:id="rId1"/>
  <colBreaks count="1" manualBreakCount="1">
    <brk id="9"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24"/>
  <sheetViews>
    <sheetView zoomScaleNormal="100" workbookViewId="0"/>
  </sheetViews>
  <sheetFormatPr baseColWidth="10" defaultColWidth="11.42578125" defaultRowHeight="15" x14ac:dyDescent="0.25"/>
  <cols>
    <col min="1" max="1" width="23.28515625" customWidth="1"/>
    <col min="2" max="5" width="11.5703125" bestFit="1" customWidth="1"/>
    <col min="6" max="6" width="12.140625" bestFit="1" customWidth="1"/>
    <col min="9" max="9" width="12.85546875" customWidth="1"/>
  </cols>
  <sheetData>
    <row r="1" spans="1:9" ht="21" x14ac:dyDescent="0.35">
      <c r="A1" s="162" t="s">
        <v>310</v>
      </c>
      <c r="B1" s="618" t="s">
        <v>1302</v>
      </c>
      <c r="C1" s="615"/>
      <c r="D1" s="615"/>
    </row>
    <row r="3" spans="1:9" x14ac:dyDescent="0.25">
      <c r="A3" s="300" t="s">
        <v>808</v>
      </c>
    </row>
    <row r="4" spans="1:9" ht="15.75" thickBot="1" x14ac:dyDescent="0.3"/>
    <row r="5" spans="1:9" ht="22.5" customHeight="1" x14ac:dyDescent="0.25">
      <c r="A5" s="81"/>
      <c r="B5" s="398" t="s">
        <v>311</v>
      </c>
      <c r="C5" s="398" t="s">
        <v>312</v>
      </c>
      <c r="D5" s="398" t="s">
        <v>313</v>
      </c>
      <c r="E5" s="398" t="s">
        <v>314</v>
      </c>
      <c r="F5" s="398" t="s">
        <v>45</v>
      </c>
      <c r="G5" s="398" t="s">
        <v>807</v>
      </c>
      <c r="H5" s="398" t="s">
        <v>806</v>
      </c>
      <c r="I5" s="397" t="s">
        <v>227</v>
      </c>
    </row>
    <row r="6" spans="1:9" x14ac:dyDescent="0.25">
      <c r="A6" s="84" t="s">
        <v>315</v>
      </c>
      <c r="B6" s="163">
        <v>11967</v>
      </c>
      <c r="C6" s="163">
        <v>8364</v>
      </c>
      <c r="D6" s="163">
        <v>14489</v>
      </c>
      <c r="E6" s="163">
        <v>20989</v>
      </c>
      <c r="F6" s="395">
        <f>SUM(B6:E6)</f>
        <v>55809</v>
      </c>
      <c r="G6" s="163">
        <f>MIN(B6:E6)</f>
        <v>8364</v>
      </c>
      <c r="H6" s="163">
        <f>MAX(B6:E6)</f>
        <v>20989</v>
      </c>
      <c r="I6" s="396">
        <f>AVERAGE(B6:E6)</f>
        <v>13952.25</v>
      </c>
    </row>
    <row r="7" spans="1:9" x14ac:dyDescent="0.25">
      <c r="A7" s="84" t="s">
        <v>316</v>
      </c>
      <c r="B7" s="163">
        <v>6749</v>
      </c>
      <c r="C7" s="163">
        <v>7902</v>
      </c>
      <c r="D7" s="163">
        <v>8898</v>
      </c>
      <c r="E7" s="163">
        <v>9789</v>
      </c>
      <c r="F7" s="395">
        <f>SUM(B7:E7)</f>
        <v>33338</v>
      </c>
      <c r="G7" s="163">
        <f>MIN(B7:E7)</f>
        <v>6749</v>
      </c>
      <c r="H7" s="163">
        <f>MAX(B7:E7)</f>
        <v>9789</v>
      </c>
      <c r="I7" s="396">
        <f>AVERAGE(B7:E7)</f>
        <v>8334.5</v>
      </c>
    </row>
    <row r="8" spans="1:9" x14ac:dyDescent="0.25">
      <c r="A8" s="84" t="s">
        <v>317</v>
      </c>
      <c r="B8" s="163">
        <v>21497</v>
      </c>
      <c r="C8" s="163">
        <v>18702</v>
      </c>
      <c r="D8" s="163">
        <v>17509</v>
      </c>
      <c r="E8" s="163">
        <v>14993</v>
      </c>
      <c r="F8" s="395">
        <f>SUM(B8:E8)</f>
        <v>72701</v>
      </c>
      <c r="G8" s="163">
        <f>MIN(B8:E8)</f>
        <v>14993</v>
      </c>
      <c r="H8" s="163">
        <f>MAX(B8:E8)</f>
        <v>21497</v>
      </c>
      <c r="I8" s="396">
        <f>AVERAGE(B8:E8)</f>
        <v>18175.25</v>
      </c>
    </row>
    <row r="9" spans="1:9" x14ac:dyDescent="0.25">
      <c r="A9" s="84" t="s">
        <v>318</v>
      </c>
      <c r="B9" s="163">
        <v>19789</v>
      </c>
      <c r="C9" s="163">
        <v>21649</v>
      </c>
      <c r="D9" s="163">
        <v>21411</v>
      </c>
      <c r="E9" s="163">
        <v>23401</v>
      </c>
      <c r="F9" s="395">
        <f>SUM(B9:E9)</f>
        <v>86250</v>
      </c>
      <c r="G9" s="163">
        <f>MIN(B9:E9)</f>
        <v>19789</v>
      </c>
      <c r="H9" s="163">
        <f>MAX(B9:E9)</f>
        <v>23401</v>
      </c>
      <c r="I9" s="396">
        <f>AVERAGE(B9:E9)</f>
        <v>21562.5</v>
      </c>
    </row>
    <row r="10" spans="1:9" x14ac:dyDescent="0.25">
      <c r="A10" s="84" t="s">
        <v>319</v>
      </c>
      <c r="B10" s="163">
        <v>8894</v>
      </c>
      <c r="C10" s="163">
        <v>12092</v>
      </c>
      <c r="D10" s="163">
        <v>15003</v>
      </c>
      <c r="E10" s="163">
        <v>13406</v>
      </c>
      <c r="F10" s="395">
        <f>SUM(B10:E10)</f>
        <v>49395</v>
      </c>
      <c r="G10" s="163">
        <f>MIN(B10:E10)</f>
        <v>8894</v>
      </c>
      <c r="H10" s="163">
        <f>MAX(B10:E10)</f>
        <v>15003</v>
      </c>
      <c r="I10" s="396">
        <f>AVERAGE(B10:E10)</f>
        <v>12348.75</v>
      </c>
    </row>
    <row r="11" spans="1:9" x14ac:dyDescent="0.25">
      <c r="A11" s="394" t="s">
        <v>45</v>
      </c>
      <c r="B11" s="395">
        <f>SUM(B6:B10)</f>
        <v>68896</v>
      </c>
      <c r="C11" s="395">
        <f>SUM(C6:C10)</f>
        <v>68709</v>
      </c>
      <c r="D11" s="395">
        <f>SUM(D6:D10)</f>
        <v>77310</v>
      </c>
      <c r="E11" s="395">
        <f>SUM(E6:E10)</f>
        <v>82578</v>
      </c>
      <c r="F11" s="395"/>
      <c r="G11" s="33"/>
      <c r="H11" s="33"/>
      <c r="I11" s="391"/>
    </row>
    <row r="12" spans="1:9" x14ac:dyDescent="0.25">
      <c r="A12" s="394" t="s">
        <v>805</v>
      </c>
      <c r="B12" s="392"/>
      <c r="C12" s="393">
        <f>(C11-B11)/B11</f>
        <v>-2.7142359498374363E-3</v>
      </c>
      <c r="D12" s="393">
        <f>(D11-C11)/C11</f>
        <v>0.12518010740950966</v>
      </c>
      <c r="E12" s="393">
        <f>(E11-D11)/D11</f>
        <v>6.8141249514939856E-2</v>
      </c>
      <c r="F12" s="392"/>
      <c r="G12" s="33"/>
      <c r="H12" s="33"/>
      <c r="I12" s="391"/>
    </row>
    <row r="13" spans="1:9" ht="15.75" thickBot="1" x14ac:dyDescent="0.3">
      <c r="A13" s="390" t="s">
        <v>804</v>
      </c>
      <c r="B13" s="389">
        <f>B11/SUM($B$11:$E$11)</f>
        <v>0.23158864242183849</v>
      </c>
      <c r="C13" s="389">
        <f>C11/SUM($B$11:$E$11)</f>
        <v>0.23096005620300308</v>
      </c>
      <c r="D13" s="389">
        <f>D11/SUM($B$11:$E$11)</f>
        <v>0.25987166084580143</v>
      </c>
      <c r="E13" s="389">
        <f>E11/SUM($B$11:$E$11)</f>
        <v>0.27757964052935702</v>
      </c>
      <c r="F13" s="388"/>
      <c r="G13" s="388"/>
      <c r="H13" s="388"/>
      <c r="I13" s="387"/>
    </row>
    <row r="15" spans="1:9" x14ac:dyDescent="0.25">
      <c r="A15" t="s">
        <v>383</v>
      </c>
    </row>
    <row r="16" spans="1:9" x14ac:dyDescent="0.25">
      <c r="A16" t="s">
        <v>384</v>
      </c>
    </row>
    <row r="17" spans="1:9" x14ac:dyDescent="0.25">
      <c r="A17" t="s">
        <v>385</v>
      </c>
    </row>
    <row r="18" spans="1:9" x14ac:dyDescent="0.25">
      <c r="A18" t="s">
        <v>386</v>
      </c>
    </row>
    <row r="19" spans="1:9" ht="30" customHeight="1" x14ac:dyDescent="0.25">
      <c r="A19" s="642" t="s">
        <v>803</v>
      </c>
      <c r="B19" s="642"/>
      <c r="C19" s="642"/>
      <c r="D19" s="642"/>
      <c r="E19" s="642"/>
      <c r="F19" s="642"/>
      <c r="G19" s="642"/>
      <c r="H19" s="642"/>
      <c r="I19" s="642"/>
    </row>
    <row r="20" spans="1:9" x14ac:dyDescent="0.25">
      <c r="A20" t="s">
        <v>802</v>
      </c>
    </row>
    <row r="21" spans="1:9" x14ac:dyDescent="0.25">
      <c r="A21" t="s">
        <v>801</v>
      </c>
    </row>
    <row r="22" spans="1:9" x14ac:dyDescent="0.25">
      <c r="A22" t="s">
        <v>387</v>
      </c>
    </row>
    <row r="23" spans="1:9" ht="30" customHeight="1" x14ac:dyDescent="0.25">
      <c r="A23" s="642" t="s">
        <v>800</v>
      </c>
      <c r="B23" s="642"/>
      <c r="C23" s="642"/>
      <c r="D23" s="642"/>
      <c r="E23" s="642"/>
      <c r="F23" s="642"/>
      <c r="G23" s="642"/>
      <c r="H23" s="642"/>
      <c r="I23" s="642"/>
    </row>
    <row r="24" spans="1:9" x14ac:dyDescent="0.25">
      <c r="A24" t="s">
        <v>388</v>
      </c>
    </row>
  </sheetData>
  <mergeCells count="2">
    <mergeCell ref="A19:I19"/>
    <mergeCell ref="A23:I23"/>
  </mergeCells>
  <pageMargins left="0.7" right="0.7" top="0.78740157499999996" bottom="0.78740157499999996" header="0.3" footer="0.3"/>
  <pageSetup paperSize="9" scale="74" orientation="portrait" r:id="rId1"/>
  <colBreaks count="1" manualBreakCount="1">
    <brk id="9"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N43"/>
  <sheetViews>
    <sheetView zoomScale="115" zoomScaleNormal="115" workbookViewId="0"/>
  </sheetViews>
  <sheetFormatPr baseColWidth="10" defaultColWidth="11.42578125" defaultRowHeight="15" x14ac:dyDescent="0.25"/>
  <cols>
    <col min="1" max="1" width="17.140625" customWidth="1"/>
    <col min="11" max="14" width="11.42578125" hidden="1" customWidth="1"/>
  </cols>
  <sheetData>
    <row r="1" spans="1:14" ht="21" x14ac:dyDescent="0.35">
      <c r="A1" s="162" t="s">
        <v>320</v>
      </c>
      <c r="B1" s="618" t="s">
        <v>1301</v>
      </c>
      <c r="C1" s="615"/>
      <c r="D1" s="615"/>
    </row>
    <row r="2" spans="1:14" ht="15.75" x14ac:dyDescent="0.25">
      <c r="A2" s="232"/>
    </row>
    <row r="3" spans="1:14" ht="15.75" x14ac:dyDescent="0.25">
      <c r="A3" s="668" t="s">
        <v>816</v>
      </c>
      <c r="B3" s="668"/>
      <c r="C3" s="668"/>
      <c r="D3" s="668"/>
      <c r="E3" s="668"/>
      <c r="F3" s="668"/>
    </row>
    <row r="5" spans="1:14" x14ac:dyDescent="0.25">
      <c r="A5" s="233" t="s">
        <v>321</v>
      </c>
      <c r="B5" s="233" t="s">
        <v>390</v>
      </c>
      <c r="C5" s="233" t="s">
        <v>391</v>
      </c>
      <c r="D5" s="233" t="s">
        <v>392</v>
      </c>
      <c r="E5" s="233" t="s">
        <v>393</v>
      </c>
      <c r="F5" s="234" t="s">
        <v>394</v>
      </c>
      <c r="K5" s="205" t="s">
        <v>395</v>
      </c>
      <c r="L5" s="205"/>
    </row>
    <row r="6" spans="1:14" x14ac:dyDescent="0.25">
      <c r="A6" s="235"/>
      <c r="B6" s="189"/>
      <c r="C6" s="189"/>
      <c r="D6" s="189"/>
      <c r="E6" s="189"/>
      <c r="F6" s="190"/>
      <c r="K6" t="str">
        <f>+A7</f>
        <v>Listenpreis</v>
      </c>
      <c r="L6" t="s">
        <v>403</v>
      </c>
      <c r="M6" s="165">
        <v>175</v>
      </c>
      <c r="N6" t="s">
        <v>410</v>
      </c>
    </row>
    <row r="7" spans="1:14" x14ac:dyDescent="0.25">
      <c r="A7" s="235" t="s">
        <v>322</v>
      </c>
      <c r="B7" s="235"/>
      <c r="C7" s="235"/>
      <c r="D7" s="235"/>
      <c r="E7" s="235"/>
      <c r="F7" s="235"/>
      <c r="K7" t="str">
        <f>+A8</f>
        <v>Rabatt in %</v>
      </c>
      <c r="L7" t="s">
        <v>404</v>
      </c>
      <c r="M7">
        <v>5</v>
      </c>
      <c r="N7" t="s">
        <v>409</v>
      </c>
    </row>
    <row r="8" spans="1:14" x14ac:dyDescent="0.25">
      <c r="A8" s="206" t="s">
        <v>396</v>
      </c>
      <c r="B8" s="402"/>
      <c r="C8" s="402"/>
      <c r="D8" s="402"/>
      <c r="E8" s="402"/>
      <c r="F8" s="402"/>
      <c r="K8" t="str">
        <f>+A12</f>
        <v>Skonto in %</v>
      </c>
      <c r="L8" t="s">
        <v>405</v>
      </c>
      <c r="M8">
        <v>2</v>
      </c>
      <c r="N8" t="s">
        <v>409</v>
      </c>
    </row>
    <row r="9" spans="1:14" x14ac:dyDescent="0.25">
      <c r="A9" s="236" t="s">
        <v>323</v>
      </c>
      <c r="B9" s="236"/>
      <c r="C9" s="236"/>
      <c r="D9" s="236"/>
      <c r="E9" s="236"/>
      <c r="F9" s="236"/>
      <c r="K9" t="str">
        <f>+A16</f>
        <v>+ Anfuhr</v>
      </c>
      <c r="L9" t="s">
        <v>406</v>
      </c>
      <c r="M9" s="165">
        <v>0.35</v>
      </c>
      <c r="N9" t="s">
        <v>410</v>
      </c>
    </row>
    <row r="10" spans="1:14" x14ac:dyDescent="0.25">
      <c r="A10" s="206"/>
      <c r="B10" s="206"/>
      <c r="C10" s="206"/>
      <c r="D10" s="206"/>
      <c r="E10" s="206"/>
      <c r="F10" s="206"/>
      <c r="K10" t="str">
        <f>+A17</f>
        <v>+ Verladen</v>
      </c>
      <c r="L10" t="s">
        <v>407</v>
      </c>
      <c r="M10" s="165">
        <v>0.8</v>
      </c>
      <c r="N10" t="s">
        <v>410</v>
      </c>
    </row>
    <row r="11" spans="1:14" x14ac:dyDescent="0.25">
      <c r="A11" s="206" t="s">
        <v>324</v>
      </c>
      <c r="B11" s="206"/>
      <c r="C11" s="206"/>
      <c r="D11" s="206"/>
      <c r="E11" s="206"/>
      <c r="F11" s="206"/>
      <c r="K11" t="str">
        <f>+A18</f>
        <v>+ Fracht</v>
      </c>
      <c r="L11" t="s">
        <v>408</v>
      </c>
      <c r="M11" s="165">
        <v>2.4</v>
      </c>
      <c r="N11" t="s">
        <v>411</v>
      </c>
    </row>
    <row r="12" spans="1:14" x14ac:dyDescent="0.25">
      <c r="A12" s="206" t="s">
        <v>397</v>
      </c>
      <c r="B12" s="402"/>
      <c r="C12" s="402"/>
      <c r="D12" s="402"/>
      <c r="E12" s="402"/>
      <c r="F12" s="402"/>
    </row>
    <row r="13" spans="1:14" x14ac:dyDescent="0.25">
      <c r="A13" s="236" t="s">
        <v>325</v>
      </c>
      <c r="B13" s="236"/>
      <c r="C13" s="236"/>
      <c r="D13" s="236"/>
      <c r="E13" s="236"/>
      <c r="F13" s="236"/>
      <c r="K13" s="205" t="s">
        <v>398</v>
      </c>
      <c r="L13" s="205"/>
    </row>
    <row r="14" spans="1:14" x14ac:dyDescent="0.25">
      <c r="A14" s="206"/>
      <c r="B14" s="206"/>
      <c r="C14" s="206"/>
      <c r="D14" s="206"/>
      <c r="E14" s="206"/>
      <c r="F14" s="206"/>
      <c r="K14" t="str">
        <f t="shared" ref="K14:K19" si="0">+K6</f>
        <v>Listenpreis</v>
      </c>
      <c r="L14" t="s">
        <v>403</v>
      </c>
      <c r="M14">
        <v>205</v>
      </c>
      <c r="N14" t="s">
        <v>410</v>
      </c>
    </row>
    <row r="15" spans="1:14" x14ac:dyDescent="0.25">
      <c r="A15" s="206" t="s">
        <v>326</v>
      </c>
      <c r="B15" s="206"/>
      <c r="C15" s="206"/>
      <c r="D15" s="206"/>
      <c r="E15" s="206"/>
      <c r="F15" s="206"/>
      <c r="K15" t="str">
        <f t="shared" si="0"/>
        <v>Rabatt in %</v>
      </c>
      <c r="M15" s="68"/>
    </row>
    <row r="16" spans="1:14" x14ac:dyDescent="0.25">
      <c r="A16" s="236" t="s">
        <v>327</v>
      </c>
      <c r="B16" s="236"/>
      <c r="C16" s="236"/>
      <c r="D16" s="236"/>
      <c r="E16" s="236"/>
      <c r="F16" s="236"/>
      <c r="K16" t="str">
        <f t="shared" si="0"/>
        <v>Skonto in %</v>
      </c>
      <c r="L16" t="s">
        <v>405</v>
      </c>
      <c r="M16">
        <v>3</v>
      </c>
      <c r="N16" t="s">
        <v>409</v>
      </c>
    </row>
    <row r="17" spans="1:14" x14ac:dyDescent="0.25">
      <c r="A17" s="236" t="s">
        <v>328</v>
      </c>
      <c r="B17" s="236"/>
      <c r="C17" s="236"/>
      <c r="D17" s="236"/>
      <c r="E17" s="236"/>
      <c r="F17" s="236"/>
      <c r="K17" t="str">
        <f t="shared" si="0"/>
        <v>+ Anfuhr</v>
      </c>
      <c r="M17" s="165"/>
    </row>
    <row r="18" spans="1:14" x14ac:dyDescent="0.25">
      <c r="A18" s="236" t="s">
        <v>329</v>
      </c>
      <c r="B18" s="236"/>
      <c r="C18" s="236"/>
      <c r="D18" s="236"/>
      <c r="E18" s="236"/>
      <c r="F18" s="236"/>
      <c r="K18" t="str">
        <f t="shared" si="0"/>
        <v>+ Verladen</v>
      </c>
      <c r="L18" t="s">
        <v>407</v>
      </c>
      <c r="M18" s="165">
        <v>0.85</v>
      </c>
      <c r="N18" t="s">
        <v>410</v>
      </c>
    </row>
    <row r="19" spans="1:14" x14ac:dyDescent="0.25">
      <c r="A19" s="206"/>
      <c r="B19" s="206"/>
      <c r="C19" s="206"/>
      <c r="D19" s="206"/>
      <c r="E19" s="206"/>
      <c r="F19" s="206"/>
      <c r="K19" t="str">
        <f t="shared" si="0"/>
        <v>+ Fracht</v>
      </c>
      <c r="L19" t="s">
        <v>408</v>
      </c>
      <c r="M19" s="165">
        <v>2.75</v>
      </c>
      <c r="N19" t="s">
        <v>411</v>
      </c>
    </row>
    <row r="20" spans="1:14" x14ac:dyDescent="0.25">
      <c r="A20" s="206" t="s">
        <v>330</v>
      </c>
      <c r="B20" s="206"/>
      <c r="C20" s="206"/>
      <c r="D20" s="206"/>
      <c r="E20" s="206"/>
      <c r="F20" s="206"/>
    </row>
    <row r="21" spans="1:14" x14ac:dyDescent="0.25">
      <c r="A21" s="203"/>
      <c r="B21" s="203"/>
      <c r="C21" s="203"/>
      <c r="D21" s="203"/>
      <c r="E21" s="203"/>
      <c r="F21" s="203"/>
      <c r="K21" t="s">
        <v>399</v>
      </c>
    </row>
    <row r="22" spans="1:14" x14ac:dyDescent="0.25">
      <c r="A22" s="206" t="s">
        <v>331</v>
      </c>
      <c r="B22" s="228"/>
      <c r="C22" s="228"/>
      <c r="D22" s="228"/>
      <c r="E22" s="228"/>
      <c r="F22" s="228"/>
      <c r="K22" t="str">
        <f t="shared" ref="K22:K27" si="1">+K14</f>
        <v>Listenpreis</v>
      </c>
      <c r="L22" t="s">
        <v>403</v>
      </c>
      <c r="M22">
        <v>195</v>
      </c>
      <c r="N22" t="s">
        <v>410</v>
      </c>
    </row>
    <row r="23" spans="1:14" x14ac:dyDescent="0.25">
      <c r="K23" t="str">
        <f t="shared" si="1"/>
        <v>Rabatt in %</v>
      </c>
      <c r="L23" t="s">
        <v>404</v>
      </c>
      <c r="M23">
        <v>5</v>
      </c>
      <c r="N23" t="s">
        <v>409</v>
      </c>
    </row>
    <row r="24" spans="1:14" x14ac:dyDescent="0.25">
      <c r="K24" t="str">
        <f t="shared" si="1"/>
        <v>Skonto in %</v>
      </c>
      <c r="L24" t="s">
        <v>405</v>
      </c>
      <c r="M24">
        <v>2</v>
      </c>
      <c r="N24" t="s">
        <v>409</v>
      </c>
    </row>
    <row r="25" spans="1:14" x14ac:dyDescent="0.25">
      <c r="A25" t="s">
        <v>389</v>
      </c>
      <c r="K25" t="str">
        <f t="shared" si="1"/>
        <v>+ Anfuhr</v>
      </c>
      <c r="L25" t="s">
        <v>406</v>
      </c>
      <c r="M25">
        <v>0.4</v>
      </c>
      <c r="N25" t="s">
        <v>410</v>
      </c>
    </row>
    <row r="26" spans="1:14" x14ac:dyDescent="0.25">
      <c r="K26" t="str">
        <f t="shared" si="1"/>
        <v>+ Verladen</v>
      </c>
      <c r="L26" t="s">
        <v>407</v>
      </c>
      <c r="M26">
        <v>0.5</v>
      </c>
      <c r="N26" t="s">
        <v>411</v>
      </c>
    </row>
    <row r="27" spans="1:14" x14ac:dyDescent="0.25">
      <c r="A27" s="10" t="s">
        <v>402</v>
      </c>
      <c r="B27" t="str">
        <f>L6&amp;M6&amp;N6&amp;L7&amp;M7&amp;N7&amp;L8&amp;M8&amp;N8&amp;L9&amp;TEXT(M9,"0,00")&amp;N9&amp;L10&amp;TEXT(M10,"0,00")&amp;N10&amp;L11&amp;TEXT(M11,"0,00")&amp;N11</f>
        <v>LP/Stk. 175 €/Stk.; Rabatt 5%; Skonto 2%; Anfuhr 0,35 €/Stk.; Verladen 0,80 €/Stk.; Fracht 2,40 €/Stk.</v>
      </c>
      <c r="K27" t="str">
        <f t="shared" si="1"/>
        <v>+ Fracht</v>
      </c>
    </row>
    <row r="28" spans="1:14" x14ac:dyDescent="0.25">
      <c r="A28" s="10" t="s">
        <v>815</v>
      </c>
      <c r="B28" t="str">
        <f>L14&amp;M14&amp;N14&amp;L15&amp;M15&amp;N15&amp;L16&amp;M16&amp;N16&amp;L17&amp;N17&amp;L18&amp;TEXT(M18,"0,00")&amp;N18&amp;L19&amp;TEXT(M19,"0,00")&amp;N19</f>
        <v>LP/Stk. 205 €/Stk.; Skonto 3%; Verladen 0,85 €/Stk.; Fracht 2,75 €/Stk.</v>
      </c>
    </row>
    <row r="29" spans="1:14" x14ac:dyDescent="0.25">
      <c r="A29" s="10" t="s">
        <v>814</v>
      </c>
      <c r="B29" t="str">
        <f>L22&amp;M22&amp;N22&amp;L23&amp;M23&amp;N23&amp;L24&amp;M24&amp;N24&amp;L25&amp;TEXT(M25,"0,00")&amp;N25&amp;L26&amp;TEXT(M26,"0,00")&amp;N26</f>
        <v>LP/Stk. 195 €/Stk.; Rabatt 5%; Skonto 2%; Anfuhr 0,40 €/Stk.; Verladen 0,50 €/Stk.</v>
      </c>
      <c r="K29" t="s">
        <v>400</v>
      </c>
    </row>
    <row r="30" spans="1:14" x14ac:dyDescent="0.25">
      <c r="A30" s="10" t="s">
        <v>813</v>
      </c>
      <c r="B30" t="str">
        <f>L30&amp;M30&amp;N30&amp;L31&amp;M31&amp;N31&amp;L32&amp;M32&amp;N32&amp;L34&amp;TEXT(M34,"0,00")&amp;N34&amp;L35&amp;TEXT(M35,"0,00")&amp;N35</f>
        <v>LP/Stk. 195 €/Stk.; Rabatt 10%; Skonto 2%; Verladen 0,60 €/Stk.; Fracht 1,25 €/Stk.</v>
      </c>
      <c r="K30" t="str">
        <f t="shared" ref="K30:K35" si="2">+K22</f>
        <v>Listenpreis</v>
      </c>
      <c r="L30" t="s">
        <v>403</v>
      </c>
      <c r="M30">
        <v>195</v>
      </c>
      <c r="N30" t="s">
        <v>410</v>
      </c>
    </row>
    <row r="31" spans="1:14" x14ac:dyDescent="0.25">
      <c r="A31" s="10" t="s">
        <v>812</v>
      </c>
      <c r="B31" t="str">
        <f>L38&amp;M38&amp;N38&amp;L39&amp;M39&amp;N39&amp;L40&amp;M40&amp;N40&amp;L41&amp;TEXT(M41,"0,00")&amp;N41&amp;L42&amp;TEXT(M42,"0,00")&amp;N42&amp;L43&amp;TEXT(M43,"0,00")&amp;N43</f>
        <v>LP/Stk. 230 €/Stk.; Rabatt 6%; Skonto 2%; Anfuhr 0,40 €/Stk.; Verladen 0,55 €/Stk.; Fracht 1,05 €/Stk.</v>
      </c>
      <c r="K31" t="str">
        <f t="shared" si="2"/>
        <v>Rabatt in %</v>
      </c>
      <c r="L31" t="s">
        <v>404</v>
      </c>
      <c r="M31">
        <v>10</v>
      </c>
      <c r="N31" t="s">
        <v>409</v>
      </c>
    </row>
    <row r="32" spans="1:14" x14ac:dyDescent="0.25">
      <c r="K32" t="str">
        <f t="shared" si="2"/>
        <v>Skonto in %</v>
      </c>
      <c r="L32" t="s">
        <v>405</v>
      </c>
      <c r="M32">
        <v>2</v>
      </c>
      <c r="N32" t="s">
        <v>409</v>
      </c>
    </row>
    <row r="33" spans="1:14" ht="30" customHeight="1" x14ac:dyDescent="0.25">
      <c r="A33" s="642" t="s">
        <v>811</v>
      </c>
      <c r="B33" s="642"/>
      <c r="C33" s="642"/>
      <c r="D33" s="642"/>
      <c r="E33" s="642"/>
      <c r="F33" s="642"/>
      <c r="G33" s="642"/>
      <c r="K33" t="str">
        <f t="shared" si="2"/>
        <v>+ Anfuhr</v>
      </c>
    </row>
    <row r="34" spans="1:14" ht="30" customHeight="1" x14ac:dyDescent="0.25">
      <c r="A34" s="642" t="s">
        <v>810</v>
      </c>
      <c r="B34" s="642"/>
      <c r="C34" s="642"/>
      <c r="D34" s="642"/>
      <c r="E34" s="642"/>
      <c r="F34" s="642"/>
      <c r="G34" s="642"/>
      <c r="K34" t="str">
        <f t="shared" si="2"/>
        <v>+ Verladen</v>
      </c>
      <c r="L34" t="s">
        <v>407</v>
      </c>
      <c r="M34">
        <v>0.6</v>
      </c>
      <c r="N34" t="s">
        <v>410</v>
      </c>
    </row>
    <row r="35" spans="1:14" ht="30" customHeight="1" x14ac:dyDescent="0.25">
      <c r="A35" s="642" t="s">
        <v>809</v>
      </c>
      <c r="B35" s="642"/>
      <c r="C35" s="642"/>
      <c r="D35" s="642"/>
      <c r="E35" s="642"/>
      <c r="F35" s="642"/>
      <c r="G35" s="642"/>
      <c r="K35" t="str">
        <f t="shared" si="2"/>
        <v>+ Fracht</v>
      </c>
      <c r="L35" t="s">
        <v>408</v>
      </c>
      <c r="M35">
        <v>1.25</v>
      </c>
      <c r="N35" t="s">
        <v>411</v>
      </c>
    </row>
    <row r="37" spans="1:14" x14ac:dyDescent="0.25">
      <c r="K37" t="s">
        <v>401</v>
      </c>
    </row>
    <row r="38" spans="1:14" x14ac:dyDescent="0.25">
      <c r="K38" t="str">
        <f t="shared" ref="K38:K43" si="3">+K30</f>
        <v>Listenpreis</v>
      </c>
      <c r="L38" t="s">
        <v>403</v>
      </c>
      <c r="M38">
        <v>230</v>
      </c>
      <c r="N38" t="s">
        <v>410</v>
      </c>
    </row>
    <row r="39" spans="1:14" x14ac:dyDescent="0.25">
      <c r="K39" t="str">
        <f t="shared" si="3"/>
        <v>Rabatt in %</v>
      </c>
      <c r="L39" t="s">
        <v>404</v>
      </c>
      <c r="M39">
        <v>6</v>
      </c>
      <c r="N39" t="s">
        <v>409</v>
      </c>
    </row>
    <row r="40" spans="1:14" x14ac:dyDescent="0.25">
      <c r="K40" t="str">
        <f t="shared" si="3"/>
        <v>Skonto in %</v>
      </c>
      <c r="L40" t="s">
        <v>405</v>
      </c>
      <c r="M40">
        <v>2</v>
      </c>
      <c r="N40" t="s">
        <v>409</v>
      </c>
    </row>
    <row r="41" spans="1:14" x14ac:dyDescent="0.25">
      <c r="K41" t="str">
        <f t="shared" si="3"/>
        <v>+ Anfuhr</v>
      </c>
      <c r="L41" t="s">
        <v>406</v>
      </c>
      <c r="M41">
        <v>0.4</v>
      </c>
      <c r="N41" t="s">
        <v>410</v>
      </c>
    </row>
    <row r="42" spans="1:14" x14ac:dyDescent="0.25">
      <c r="K42" t="str">
        <f t="shared" si="3"/>
        <v>+ Verladen</v>
      </c>
      <c r="L42" t="s">
        <v>407</v>
      </c>
      <c r="M42">
        <v>0.55000000000000004</v>
      </c>
      <c r="N42" t="s">
        <v>410</v>
      </c>
    </row>
    <row r="43" spans="1:14" x14ac:dyDescent="0.25">
      <c r="K43" t="str">
        <f t="shared" si="3"/>
        <v>+ Fracht</v>
      </c>
      <c r="L43" t="s">
        <v>408</v>
      </c>
      <c r="M43">
        <v>1.05</v>
      </c>
      <c r="N43" t="s">
        <v>411</v>
      </c>
    </row>
  </sheetData>
  <mergeCells count="4">
    <mergeCell ref="A3:F3"/>
    <mergeCell ref="A33:G33"/>
    <mergeCell ref="A34:G34"/>
    <mergeCell ref="A35:G35"/>
  </mergeCells>
  <pageMargins left="0.70866141732283472" right="0.70866141732283472" top="0.78740157480314965" bottom="0.78740157480314965" header="0.31496062992125984" footer="0.31496062992125984"/>
  <pageSetup paperSize="9" scale="8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N43"/>
  <sheetViews>
    <sheetView zoomScale="115" zoomScaleNormal="115" workbookViewId="0"/>
  </sheetViews>
  <sheetFormatPr baseColWidth="10" defaultColWidth="11.42578125" defaultRowHeight="15" x14ac:dyDescent="0.25"/>
  <cols>
    <col min="1" max="1" width="17.140625" customWidth="1"/>
    <col min="11" max="14" width="11.42578125" hidden="1" customWidth="1"/>
  </cols>
  <sheetData>
    <row r="1" spans="1:14" ht="21" x14ac:dyDescent="0.35">
      <c r="A1" s="162" t="s">
        <v>320</v>
      </c>
      <c r="B1" s="618" t="s">
        <v>1302</v>
      </c>
      <c r="C1" s="615"/>
      <c r="D1" s="615"/>
    </row>
    <row r="2" spans="1:14" ht="15.75" x14ac:dyDescent="0.25">
      <c r="A2" s="232"/>
    </row>
    <row r="3" spans="1:14" ht="15.75" x14ac:dyDescent="0.25">
      <c r="A3" s="668" t="s">
        <v>816</v>
      </c>
      <c r="B3" s="668"/>
      <c r="C3" s="668"/>
      <c r="D3" s="668"/>
      <c r="E3" s="668"/>
      <c r="F3" s="668"/>
    </row>
    <row r="5" spans="1:14" x14ac:dyDescent="0.25">
      <c r="A5" s="408" t="s">
        <v>321</v>
      </c>
      <c r="B5" s="408" t="s">
        <v>390</v>
      </c>
      <c r="C5" s="408" t="s">
        <v>391</v>
      </c>
      <c r="D5" s="408" t="s">
        <v>392</v>
      </c>
      <c r="E5" s="408" t="s">
        <v>393</v>
      </c>
      <c r="F5" s="407" t="s">
        <v>394</v>
      </c>
      <c r="K5" s="205" t="s">
        <v>395</v>
      </c>
      <c r="L5" s="205"/>
    </row>
    <row r="6" spans="1:14" x14ac:dyDescent="0.25">
      <c r="A6" s="235"/>
      <c r="B6" s="189"/>
      <c r="C6" s="189"/>
      <c r="D6" s="189"/>
      <c r="E6" s="189"/>
      <c r="F6" s="190"/>
      <c r="K6" t="str">
        <f>+A7</f>
        <v>Listenpreis</v>
      </c>
      <c r="L6" t="s">
        <v>403</v>
      </c>
      <c r="M6" s="165">
        <v>175</v>
      </c>
      <c r="N6" t="s">
        <v>410</v>
      </c>
    </row>
    <row r="7" spans="1:14" x14ac:dyDescent="0.25">
      <c r="A7" s="235" t="s">
        <v>322</v>
      </c>
      <c r="B7" s="406">
        <v>175</v>
      </c>
      <c r="C7" s="406">
        <v>205</v>
      </c>
      <c r="D7" s="406">
        <v>195</v>
      </c>
      <c r="E7" s="406">
        <v>195</v>
      </c>
      <c r="F7" s="406">
        <v>230</v>
      </c>
      <c r="K7" t="str">
        <f>+A8</f>
        <v>Rabatt in %</v>
      </c>
      <c r="L7" t="s">
        <v>404</v>
      </c>
      <c r="M7">
        <v>5</v>
      </c>
      <c r="N7" t="s">
        <v>409</v>
      </c>
    </row>
    <row r="8" spans="1:14" x14ac:dyDescent="0.25">
      <c r="A8" s="206" t="s">
        <v>396</v>
      </c>
      <c r="B8" s="405">
        <v>0.05</v>
      </c>
      <c r="C8" s="405"/>
      <c r="D8" s="405">
        <v>0.05</v>
      </c>
      <c r="E8" s="405">
        <v>0.1</v>
      </c>
      <c r="F8" s="405">
        <v>0.06</v>
      </c>
      <c r="K8" t="str">
        <f>+A12</f>
        <v>Skonto in %</v>
      </c>
      <c r="L8" t="s">
        <v>405</v>
      </c>
      <c r="M8">
        <v>2</v>
      </c>
      <c r="N8" t="s">
        <v>409</v>
      </c>
    </row>
    <row r="9" spans="1:14" x14ac:dyDescent="0.25">
      <c r="A9" s="236" t="s">
        <v>323</v>
      </c>
      <c r="B9" s="404">
        <f>B7*B8</f>
        <v>8.75</v>
      </c>
      <c r="C9" s="404">
        <f>C7*C8</f>
        <v>0</v>
      </c>
      <c r="D9" s="404">
        <f>D7*D8</f>
        <v>9.75</v>
      </c>
      <c r="E9" s="404">
        <f>E7*E8</f>
        <v>19.5</v>
      </c>
      <c r="F9" s="404">
        <f>F7*F8</f>
        <v>13.799999999999999</v>
      </c>
      <c r="K9" t="str">
        <f>+A16</f>
        <v>+ Anfuhr</v>
      </c>
      <c r="L9" t="s">
        <v>406</v>
      </c>
      <c r="M9" s="165">
        <v>0.35</v>
      </c>
      <c r="N9" t="s">
        <v>410</v>
      </c>
    </row>
    <row r="10" spans="1:14" x14ac:dyDescent="0.25">
      <c r="A10" s="206"/>
      <c r="B10" s="403"/>
      <c r="C10" s="403"/>
      <c r="D10" s="403"/>
      <c r="E10" s="403"/>
      <c r="F10" s="403"/>
      <c r="K10" t="str">
        <f>+A17</f>
        <v>+ Verladen</v>
      </c>
      <c r="L10" t="s">
        <v>407</v>
      </c>
      <c r="M10" s="165">
        <v>0.8</v>
      </c>
      <c r="N10" t="s">
        <v>410</v>
      </c>
    </row>
    <row r="11" spans="1:14" x14ac:dyDescent="0.25">
      <c r="A11" s="206" t="s">
        <v>324</v>
      </c>
      <c r="B11" s="403">
        <f>B7-B9</f>
        <v>166.25</v>
      </c>
      <c r="C11" s="403">
        <f>C7-C9</f>
        <v>205</v>
      </c>
      <c r="D11" s="403">
        <f>D7-D9</f>
        <v>185.25</v>
      </c>
      <c r="E11" s="403">
        <f>E7-E9</f>
        <v>175.5</v>
      </c>
      <c r="F11" s="403">
        <f>F7-F9</f>
        <v>216.2</v>
      </c>
      <c r="K11" t="str">
        <f>+A18</f>
        <v>+ Fracht</v>
      </c>
      <c r="L11" t="s">
        <v>408</v>
      </c>
      <c r="M11" s="165">
        <v>2.4</v>
      </c>
      <c r="N11" t="s">
        <v>411</v>
      </c>
    </row>
    <row r="12" spans="1:14" x14ac:dyDescent="0.25">
      <c r="A12" s="206" t="s">
        <v>397</v>
      </c>
      <c r="B12" s="405">
        <v>0.02</v>
      </c>
      <c r="C12" s="405">
        <v>0.03</v>
      </c>
      <c r="D12" s="405">
        <v>0.02</v>
      </c>
      <c r="E12" s="405">
        <v>0.02</v>
      </c>
      <c r="F12" s="405">
        <v>0.02</v>
      </c>
    </row>
    <row r="13" spans="1:14" x14ac:dyDescent="0.25">
      <c r="A13" s="236" t="s">
        <v>325</v>
      </c>
      <c r="B13" s="404">
        <f>B11*B12</f>
        <v>3.3250000000000002</v>
      </c>
      <c r="C13" s="404">
        <f>C11*C12</f>
        <v>6.1499999999999995</v>
      </c>
      <c r="D13" s="404">
        <f>D11*D12</f>
        <v>3.7050000000000001</v>
      </c>
      <c r="E13" s="404">
        <f>E11*E12</f>
        <v>3.5100000000000002</v>
      </c>
      <c r="F13" s="404">
        <f>F11*F12</f>
        <v>4.3239999999999998</v>
      </c>
      <c r="K13" s="205" t="s">
        <v>398</v>
      </c>
      <c r="L13" s="205"/>
    </row>
    <row r="14" spans="1:14" x14ac:dyDescent="0.25">
      <c r="A14" s="206"/>
      <c r="B14" s="403"/>
      <c r="C14" s="403"/>
      <c r="D14" s="403"/>
      <c r="E14" s="403"/>
      <c r="F14" s="403"/>
      <c r="K14" t="str">
        <f t="shared" ref="K14:K19" si="0">+K6</f>
        <v>Listenpreis</v>
      </c>
      <c r="L14" t="s">
        <v>403</v>
      </c>
      <c r="M14">
        <v>205</v>
      </c>
      <c r="N14" t="s">
        <v>410</v>
      </c>
    </row>
    <row r="15" spans="1:14" x14ac:dyDescent="0.25">
      <c r="A15" s="206" t="s">
        <v>326</v>
      </c>
      <c r="B15" s="403">
        <f>B11-B13</f>
        <v>162.92500000000001</v>
      </c>
      <c r="C15" s="403">
        <f>C11-C13</f>
        <v>198.85</v>
      </c>
      <c r="D15" s="403">
        <f>D11-D13</f>
        <v>181.54499999999999</v>
      </c>
      <c r="E15" s="403">
        <f>E11-E13</f>
        <v>171.99</v>
      </c>
      <c r="F15" s="403">
        <f>F11-F13</f>
        <v>211.87599999999998</v>
      </c>
      <c r="K15" t="str">
        <f t="shared" si="0"/>
        <v>Rabatt in %</v>
      </c>
      <c r="M15" s="68"/>
    </row>
    <row r="16" spans="1:14" x14ac:dyDescent="0.25">
      <c r="A16" s="236" t="s">
        <v>327</v>
      </c>
      <c r="B16" s="404">
        <v>0.35</v>
      </c>
      <c r="C16" s="404"/>
      <c r="D16" s="404">
        <v>0.4</v>
      </c>
      <c r="E16" s="404"/>
      <c r="F16" s="404">
        <v>0.4</v>
      </c>
      <c r="K16" t="str">
        <f t="shared" si="0"/>
        <v>Skonto in %</v>
      </c>
      <c r="L16" t="s">
        <v>405</v>
      </c>
      <c r="M16">
        <v>3</v>
      </c>
      <c r="N16" t="s">
        <v>409</v>
      </c>
    </row>
    <row r="17" spans="1:14" x14ac:dyDescent="0.25">
      <c r="A17" s="236" t="s">
        <v>328</v>
      </c>
      <c r="B17" s="404">
        <v>0.8</v>
      </c>
      <c r="C17" s="404">
        <v>0.85</v>
      </c>
      <c r="D17" s="404">
        <v>0.5</v>
      </c>
      <c r="E17" s="404">
        <v>0.6</v>
      </c>
      <c r="F17" s="404">
        <v>0.55000000000000004</v>
      </c>
      <c r="K17" t="str">
        <f t="shared" si="0"/>
        <v>+ Anfuhr</v>
      </c>
      <c r="M17" s="165"/>
    </row>
    <row r="18" spans="1:14" x14ac:dyDescent="0.25">
      <c r="A18" s="236" t="s">
        <v>329</v>
      </c>
      <c r="B18" s="404">
        <v>2.4</v>
      </c>
      <c r="C18" s="404">
        <v>2.75</v>
      </c>
      <c r="D18" s="404"/>
      <c r="E18" s="404">
        <v>1.25</v>
      </c>
      <c r="F18" s="404">
        <v>1.05</v>
      </c>
      <c r="K18" t="str">
        <f t="shared" si="0"/>
        <v>+ Verladen</v>
      </c>
      <c r="L18" t="s">
        <v>407</v>
      </c>
      <c r="M18" s="165">
        <v>0.85</v>
      </c>
      <c r="N18" t="s">
        <v>410</v>
      </c>
    </row>
    <row r="19" spans="1:14" x14ac:dyDescent="0.25">
      <c r="A19" s="206"/>
      <c r="B19" s="403"/>
      <c r="C19" s="403"/>
      <c r="D19" s="403"/>
      <c r="E19" s="403"/>
      <c r="F19" s="403"/>
      <c r="K19" t="str">
        <f t="shared" si="0"/>
        <v>+ Fracht</v>
      </c>
      <c r="L19" t="s">
        <v>408</v>
      </c>
      <c r="M19" s="165">
        <v>2.75</v>
      </c>
      <c r="N19" t="s">
        <v>411</v>
      </c>
    </row>
    <row r="20" spans="1:14" x14ac:dyDescent="0.25">
      <c r="A20" s="206" t="s">
        <v>330</v>
      </c>
      <c r="B20" s="403">
        <f>B15+B16+B17+B18</f>
        <v>166.47500000000002</v>
      </c>
      <c r="C20" s="403">
        <f>C15+C16+C17+C18</f>
        <v>202.45</v>
      </c>
      <c r="D20" s="403">
        <f>D15+D16+D17+D18</f>
        <v>182.44499999999999</v>
      </c>
      <c r="E20" s="403">
        <f>E15+E16+E17+E18</f>
        <v>173.84</v>
      </c>
      <c r="F20" s="403">
        <f>F15+F16+F17+F18</f>
        <v>213.876</v>
      </c>
    </row>
    <row r="21" spans="1:14" x14ac:dyDescent="0.25">
      <c r="A21" s="203"/>
      <c r="B21" s="203"/>
      <c r="C21" s="203"/>
      <c r="D21" s="203"/>
      <c r="E21" s="203"/>
      <c r="F21" s="203"/>
      <c r="K21" t="s">
        <v>399</v>
      </c>
    </row>
    <row r="22" spans="1:14" x14ac:dyDescent="0.25">
      <c r="A22" s="206" t="s">
        <v>331</v>
      </c>
      <c r="B22" s="228" t="str">
        <f>IF(B20&gt;200,"teuer","günstig")</f>
        <v>günstig</v>
      </c>
      <c r="C22" s="228" t="str">
        <f>IF(C20&gt;200,"teuer","günstig")</f>
        <v>teuer</v>
      </c>
      <c r="D22" s="228" t="str">
        <f>IF(D20&gt;200,"teuer","günstig")</f>
        <v>günstig</v>
      </c>
      <c r="E22" s="228" t="str">
        <f>IF(E20&gt;200,"teuer","günstig")</f>
        <v>günstig</v>
      </c>
      <c r="F22" s="228" t="str">
        <f>IF(F20&gt;200,"teuer","günstig")</f>
        <v>teuer</v>
      </c>
      <c r="K22" t="str">
        <f t="shared" ref="K22:K27" si="1">+K14</f>
        <v>Listenpreis</v>
      </c>
      <c r="L22" t="s">
        <v>403</v>
      </c>
      <c r="M22">
        <v>195</v>
      </c>
      <c r="N22" t="s">
        <v>410</v>
      </c>
    </row>
    <row r="23" spans="1:14" x14ac:dyDescent="0.25">
      <c r="K23" t="str">
        <f t="shared" si="1"/>
        <v>Rabatt in %</v>
      </c>
      <c r="L23" t="s">
        <v>404</v>
      </c>
      <c r="M23">
        <v>5</v>
      </c>
      <c r="N23" t="s">
        <v>409</v>
      </c>
    </row>
    <row r="24" spans="1:14" x14ac:dyDescent="0.25">
      <c r="K24" t="str">
        <f t="shared" si="1"/>
        <v>Skonto in %</v>
      </c>
      <c r="L24" t="s">
        <v>405</v>
      </c>
      <c r="M24">
        <v>2</v>
      </c>
      <c r="N24" t="s">
        <v>409</v>
      </c>
    </row>
    <row r="25" spans="1:14" x14ac:dyDescent="0.25">
      <c r="A25" t="s">
        <v>389</v>
      </c>
      <c r="K25" t="str">
        <f t="shared" si="1"/>
        <v>+ Anfuhr</v>
      </c>
      <c r="L25" t="s">
        <v>406</v>
      </c>
      <c r="M25">
        <v>0.4</v>
      </c>
      <c r="N25" t="s">
        <v>410</v>
      </c>
    </row>
    <row r="26" spans="1:14" x14ac:dyDescent="0.25">
      <c r="K26" t="str">
        <f t="shared" si="1"/>
        <v>+ Verladen</v>
      </c>
      <c r="L26" t="s">
        <v>407</v>
      </c>
      <c r="M26">
        <v>0.5</v>
      </c>
      <c r="N26" t="s">
        <v>411</v>
      </c>
    </row>
    <row r="27" spans="1:14" x14ac:dyDescent="0.25">
      <c r="A27" s="10" t="s">
        <v>402</v>
      </c>
      <c r="B27" t="str">
        <f>L6&amp;M6&amp;N6&amp;L7&amp;M7&amp;N7&amp;L8&amp;M8&amp;N8&amp;L9&amp;TEXT(M9,"0,00")&amp;N9&amp;L10&amp;TEXT(M10,"0,00")&amp;N10&amp;L11&amp;TEXT(M11,"0,00")&amp;N11</f>
        <v>LP/Stk. 175 €/Stk.; Rabatt 5%; Skonto 2%; Anfuhr 0,35 €/Stk.; Verladen 0,80 €/Stk.; Fracht 2,40 €/Stk.</v>
      </c>
      <c r="K27" t="str">
        <f t="shared" si="1"/>
        <v>+ Fracht</v>
      </c>
    </row>
    <row r="28" spans="1:14" x14ac:dyDescent="0.25">
      <c r="A28" s="10" t="s">
        <v>815</v>
      </c>
      <c r="B28" t="str">
        <f>L14&amp;M14&amp;N14&amp;L15&amp;M15&amp;N15&amp;L16&amp;M16&amp;N16&amp;L17&amp;N17&amp;L18&amp;TEXT(M18,"0,00")&amp;N18&amp;L19&amp;TEXT(M19,"0,00")&amp;N19</f>
        <v>LP/Stk. 205 €/Stk.; Skonto 3%; Verladen 0,85 €/Stk.; Fracht 2,75 €/Stk.</v>
      </c>
    </row>
    <row r="29" spans="1:14" x14ac:dyDescent="0.25">
      <c r="A29" s="10" t="s">
        <v>814</v>
      </c>
      <c r="B29" t="str">
        <f>L22&amp;M22&amp;N22&amp;L23&amp;M23&amp;N23&amp;L24&amp;M24&amp;N24&amp;L25&amp;TEXT(M25,"0,00")&amp;N25&amp;L26&amp;TEXT(M26,"0,00")&amp;N26</f>
        <v>LP/Stk. 195 €/Stk.; Rabatt 5%; Skonto 2%; Anfuhr 0,40 €/Stk.; Verladen 0,50 €/Stk.</v>
      </c>
      <c r="K29" t="s">
        <v>400</v>
      </c>
    </row>
    <row r="30" spans="1:14" x14ac:dyDescent="0.25">
      <c r="A30" s="10" t="s">
        <v>813</v>
      </c>
      <c r="B30" t="str">
        <f>L30&amp;M30&amp;N30&amp;L31&amp;M31&amp;N31&amp;L32&amp;M32&amp;N32&amp;L34&amp;TEXT(M34,"0,00")&amp;N34&amp;L35&amp;TEXT(M35,"0,00")&amp;N35</f>
        <v>LP/Stk. 195 €/Stk.; Rabatt 10%; Skonto 2%; Verladen 0,60 €/Stk.; Fracht 1,25 €/Stk.</v>
      </c>
      <c r="K30" t="str">
        <f t="shared" ref="K30:K35" si="2">+K22</f>
        <v>Listenpreis</v>
      </c>
      <c r="L30" t="s">
        <v>403</v>
      </c>
      <c r="M30">
        <v>195</v>
      </c>
      <c r="N30" t="s">
        <v>410</v>
      </c>
    </row>
    <row r="31" spans="1:14" x14ac:dyDescent="0.25">
      <c r="A31" s="10" t="s">
        <v>812</v>
      </c>
      <c r="B31" t="str">
        <f>L38&amp;M38&amp;N38&amp;L39&amp;M39&amp;N39&amp;L40&amp;M40&amp;N40&amp;L41&amp;TEXT(M41,"0,00")&amp;N41&amp;L42&amp;TEXT(M42,"0,00")&amp;N42&amp;L43&amp;TEXT(M43,"0,00")&amp;N43</f>
        <v>LP/Stk. 230 €/Stk.; Rabatt 6%; Skonto 2%; Anfuhr 0,40 €/Stk.; Verladen 0,55 €/Stk.; Fracht 1,05 €/Stk.</v>
      </c>
      <c r="K31" t="str">
        <f t="shared" si="2"/>
        <v>Rabatt in %</v>
      </c>
      <c r="L31" t="s">
        <v>404</v>
      </c>
      <c r="M31">
        <v>10</v>
      </c>
      <c r="N31" t="s">
        <v>409</v>
      </c>
    </row>
    <row r="32" spans="1:14" x14ac:dyDescent="0.25">
      <c r="K32" t="str">
        <f t="shared" si="2"/>
        <v>Skonto in %</v>
      </c>
      <c r="L32" t="s">
        <v>405</v>
      </c>
      <c r="M32">
        <v>2</v>
      </c>
      <c r="N32" t="s">
        <v>409</v>
      </c>
    </row>
    <row r="33" spans="1:14" ht="30" customHeight="1" x14ac:dyDescent="0.25">
      <c r="A33" s="642" t="s">
        <v>811</v>
      </c>
      <c r="B33" s="642"/>
      <c r="C33" s="642"/>
      <c r="D33" s="642"/>
      <c r="E33" s="642"/>
      <c r="F33" s="642"/>
      <c r="G33" s="642"/>
      <c r="K33" t="str">
        <f t="shared" si="2"/>
        <v>+ Anfuhr</v>
      </c>
    </row>
    <row r="34" spans="1:14" ht="30" customHeight="1" x14ac:dyDescent="0.25">
      <c r="A34" s="642" t="s">
        <v>810</v>
      </c>
      <c r="B34" s="642"/>
      <c r="C34" s="642"/>
      <c r="D34" s="642"/>
      <c r="E34" s="642"/>
      <c r="F34" s="642"/>
      <c r="G34" s="642"/>
      <c r="K34" t="str">
        <f t="shared" si="2"/>
        <v>+ Verladen</v>
      </c>
      <c r="L34" t="s">
        <v>407</v>
      </c>
      <c r="M34">
        <v>0.6</v>
      </c>
      <c r="N34" t="s">
        <v>410</v>
      </c>
    </row>
    <row r="35" spans="1:14" ht="30" customHeight="1" x14ac:dyDescent="0.25">
      <c r="A35" s="642" t="s">
        <v>809</v>
      </c>
      <c r="B35" s="642"/>
      <c r="C35" s="642"/>
      <c r="D35" s="642"/>
      <c r="E35" s="642"/>
      <c r="F35" s="642"/>
      <c r="G35" s="642"/>
      <c r="K35" t="str">
        <f t="shared" si="2"/>
        <v>+ Fracht</v>
      </c>
      <c r="L35" t="s">
        <v>408</v>
      </c>
      <c r="M35">
        <v>1.25</v>
      </c>
      <c r="N35" t="s">
        <v>411</v>
      </c>
    </row>
    <row r="37" spans="1:14" x14ac:dyDescent="0.25">
      <c r="K37" t="s">
        <v>401</v>
      </c>
    </row>
    <row r="38" spans="1:14" x14ac:dyDescent="0.25">
      <c r="K38" t="str">
        <f t="shared" ref="K38:K43" si="3">+K30</f>
        <v>Listenpreis</v>
      </c>
      <c r="L38" t="s">
        <v>403</v>
      </c>
      <c r="M38">
        <v>230</v>
      </c>
      <c r="N38" t="s">
        <v>410</v>
      </c>
    </row>
    <row r="39" spans="1:14" x14ac:dyDescent="0.25">
      <c r="K39" t="str">
        <f t="shared" si="3"/>
        <v>Rabatt in %</v>
      </c>
      <c r="L39" t="s">
        <v>404</v>
      </c>
      <c r="M39">
        <v>6</v>
      </c>
      <c r="N39" t="s">
        <v>409</v>
      </c>
    </row>
    <row r="40" spans="1:14" x14ac:dyDescent="0.25">
      <c r="K40" t="str">
        <f t="shared" si="3"/>
        <v>Skonto in %</v>
      </c>
      <c r="L40" t="s">
        <v>405</v>
      </c>
      <c r="M40">
        <v>2</v>
      </c>
      <c r="N40" t="s">
        <v>409</v>
      </c>
    </row>
    <row r="41" spans="1:14" x14ac:dyDescent="0.25">
      <c r="K41" t="str">
        <f t="shared" si="3"/>
        <v>+ Anfuhr</v>
      </c>
      <c r="L41" t="s">
        <v>406</v>
      </c>
      <c r="M41">
        <v>0.4</v>
      </c>
      <c r="N41" t="s">
        <v>410</v>
      </c>
    </row>
    <row r="42" spans="1:14" x14ac:dyDescent="0.25">
      <c r="K42" t="str">
        <f t="shared" si="3"/>
        <v>+ Verladen</v>
      </c>
      <c r="L42" t="s">
        <v>407</v>
      </c>
      <c r="M42">
        <v>0.55000000000000004</v>
      </c>
      <c r="N42" t="s">
        <v>410</v>
      </c>
    </row>
    <row r="43" spans="1:14" x14ac:dyDescent="0.25">
      <c r="K43" t="str">
        <f t="shared" si="3"/>
        <v>+ Fracht</v>
      </c>
      <c r="L43" t="s">
        <v>408</v>
      </c>
      <c r="M43">
        <v>1.05</v>
      </c>
      <c r="N43" t="s">
        <v>411</v>
      </c>
    </row>
  </sheetData>
  <mergeCells count="4">
    <mergeCell ref="A3:F3"/>
    <mergeCell ref="A33:G33"/>
    <mergeCell ref="A34:G34"/>
    <mergeCell ref="A35:G35"/>
  </mergeCells>
  <pageMargins left="0.70866141732283472" right="0.70866141732283472" top="0.78740157480314965" bottom="0.78740157480314965" header="0.31496062992125984" footer="0.31496062992125984"/>
  <pageSetup paperSize="9" scale="8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29"/>
  <sheetViews>
    <sheetView zoomScaleNormal="100" workbookViewId="0"/>
  </sheetViews>
  <sheetFormatPr baseColWidth="10" defaultColWidth="11.42578125" defaultRowHeight="15" x14ac:dyDescent="0.25"/>
  <cols>
    <col min="3" max="3" width="16" customWidth="1"/>
    <col min="4" max="4" width="14.140625" customWidth="1"/>
    <col min="5" max="5" width="13.42578125" customWidth="1"/>
    <col min="6" max="6" width="14.5703125" customWidth="1"/>
    <col min="7" max="7" width="12.5703125" customWidth="1"/>
  </cols>
  <sheetData>
    <row r="1" spans="1:8" ht="21" x14ac:dyDescent="0.35">
      <c r="A1" s="162" t="s">
        <v>332</v>
      </c>
      <c r="B1" s="224"/>
      <c r="C1" s="615" t="s">
        <v>1303</v>
      </c>
      <c r="D1" s="615"/>
    </row>
    <row r="3" spans="1:8" x14ac:dyDescent="0.25">
      <c r="A3" s="300" t="s">
        <v>818</v>
      </c>
    </row>
    <row r="5" spans="1:8" x14ac:dyDescent="0.25">
      <c r="B5" s="58"/>
    </row>
    <row r="6" spans="1:8" ht="25.5" x14ac:dyDescent="0.25">
      <c r="A6" s="409" t="s">
        <v>333</v>
      </c>
      <c r="B6" s="409" t="s">
        <v>334</v>
      </c>
      <c r="C6" s="409" t="s">
        <v>335</v>
      </c>
      <c r="D6" s="409" t="s">
        <v>336</v>
      </c>
      <c r="E6" s="409" t="s">
        <v>337</v>
      </c>
      <c r="F6" s="409" t="s">
        <v>817</v>
      </c>
      <c r="G6" s="409" t="s">
        <v>338</v>
      </c>
      <c r="H6" s="409" t="s">
        <v>339</v>
      </c>
    </row>
    <row r="7" spans="1:8" x14ac:dyDescent="0.25">
      <c r="A7" s="39">
        <v>14114</v>
      </c>
      <c r="B7" s="163">
        <v>59.199999999999996</v>
      </c>
      <c r="C7" s="410">
        <v>57500</v>
      </c>
      <c r="D7" s="229">
        <v>9</v>
      </c>
      <c r="E7" s="136"/>
      <c r="F7" s="230"/>
      <c r="G7" s="231"/>
      <c r="H7" s="39"/>
    </row>
    <row r="8" spans="1:8" x14ac:dyDescent="0.25">
      <c r="A8" s="39">
        <v>14116</v>
      </c>
      <c r="B8" s="163">
        <v>34.799999999999997</v>
      </c>
      <c r="C8" s="410">
        <v>62000</v>
      </c>
      <c r="D8" s="229">
        <v>13</v>
      </c>
      <c r="E8" s="136"/>
      <c r="F8" s="230"/>
      <c r="G8" s="231"/>
      <c r="H8" s="39"/>
    </row>
    <row r="9" spans="1:8" x14ac:dyDescent="0.25">
      <c r="A9" s="39">
        <v>14118</v>
      </c>
      <c r="B9" s="163">
        <v>20.2</v>
      </c>
      <c r="C9" s="410">
        <v>49900</v>
      </c>
      <c r="D9" s="173">
        <v>7</v>
      </c>
      <c r="E9" s="136"/>
      <c r="F9" s="230"/>
      <c r="G9" s="231"/>
      <c r="H9" s="39"/>
    </row>
    <row r="10" spans="1:8" x14ac:dyDescent="0.25">
      <c r="A10" s="39">
        <v>14113</v>
      </c>
      <c r="B10" s="163">
        <v>17.7</v>
      </c>
      <c r="C10" s="410">
        <v>42000</v>
      </c>
      <c r="D10" s="229">
        <v>17</v>
      </c>
      <c r="E10" s="136"/>
      <c r="F10" s="230"/>
      <c r="G10" s="231"/>
      <c r="H10" s="39"/>
    </row>
    <row r="11" spans="1:8" x14ac:dyDescent="0.25">
      <c r="A11" s="39">
        <v>14122</v>
      </c>
      <c r="B11" s="163">
        <v>17.75</v>
      </c>
      <c r="C11" s="410">
        <v>28400</v>
      </c>
      <c r="D11" s="173">
        <v>15</v>
      </c>
      <c r="E11" s="136"/>
      <c r="F11" s="230"/>
      <c r="G11" s="231"/>
      <c r="H11" s="39"/>
    </row>
    <row r="12" spans="1:8" x14ac:dyDescent="0.25">
      <c r="A12" s="39">
        <v>14117</v>
      </c>
      <c r="B12" s="163">
        <v>12.4</v>
      </c>
      <c r="C12" s="410">
        <v>32000</v>
      </c>
      <c r="D12" s="229">
        <v>13</v>
      </c>
      <c r="E12" s="136"/>
      <c r="F12" s="230"/>
      <c r="G12" s="231"/>
      <c r="H12" s="39"/>
    </row>
    <row r="13" spans="1:8" x14ac:dyDescent="0.25">
      <c r="A13" s="39">
        <v>14119</v>
      </c>
      <c r="B13" s="163">
        <v>4.5999999999999996</v>
      </c>
      <c r="C13" s="410">
        <v>76000</v>
      </c>
      <c r="D13" s="173">
        <v>25</v>
      </c>
      <c r="E13" s="136"/>
      <c r="F13" s="230"/>
      <c r="G13" s="231"/>
      <c r="H13" s="39"/>
    </row>
    <row r="14" spans="1:8" x14ac:dyDescent="0.25">
      <c r="A14" s="39">
        <v>14121</v>
      </c>
      <c r="B14" s="163">
        <v>1.55</v>
      </c>
      <c r="C14" s="410">
        <v>188000</v>
      </c>
      <c r="D14" s="173">
        <v>26</v>
      </c>
      <c r="E14" s="136"/>
      <c r="F14" s="230"/>
      <c r="G14" s="231"/>
      <c r="H14" s="39"/>
    </row>
    <row r="15" spans="1:8" x14ac:dyDescent="0.25">
      <c r="A15" s="39">
        <v>14120</v>
      </c>
      <c r="B15" s="163">
        <v>7.8000000000000007</v>
      </c>
      <c r="C15" s="410">
        <v>34100</v>
      </c>
      <c r="D15" s="173">
        <v>11</v>
      </c>
      <c r="E15" s="136"/>
      <c r="F15" s="230"/>
      <c r="G15" s="231"/>
      <c r="H15" s="39"/>
    </row>
    <row r="16" spans="1:8" x14ac:dyDescent="0.25">
      <c r="A16" s="39">
        <v>14115</v>
      </c>
      <c r="B16" s="163">
        <v>1.65</v>
      </c>
      <c r="C16" s="410">
        <v>83600</v>
      </c>
      <c r="D16" s="229">
        <v>23</v>
      </c>
      <c r="E16" s="136"/>
      <c r="F16" s="230"/>
      <c r="G16" s="231"/>
      <c r="H16" s="39"/>
    </row>
    <row r="17" spans="1:8" x14ac:dyDescent="0.25">
      <c r="A17" s="33"/>
      <c r="B17" s="33"/>
      <c r="C17" s="33"/>
      <c r="D17" s="33"/>
      <c r="E17" s="137"/>
      <c r="F17" s="137"/>
      <c r="G17" s="138"/>
      <c r="H17" s="39"/>
    </row>
    <row r="18" spans="1:8" x14ac:dyDescent="0.25">
      <c r="A18" s="411" t="s">
        <v>46</v>
      </c>
      <c r="B18" s="33"/>
      <c r="C18" s="33"/>
      <c r="D18" s="33"/>
      <c r="E18" s="137"/>
      <c r="F18" s="137"/>
      <c r="G18" s="138"/>
      <c r="H18" s="39"/>
    </row>
    <row r="21" spans="1:8" x14ac:dyDescent="0.25">
      <c r="A21" t="s">
        <v>412</v>
      </c>
    </row>
    <row r="22" spans="1:8" x14ac:dyDescent="0.25">
      <c r="A22" t="s">
        <v>820</v>
      </c>
    </row>
    <row r="23" spans="1:8" x14ac:dyDescent="0.25">
      <c r="A23" t="s">
        <v>821</v>
      </c>
    </row>
    <row r="24" spans="1:8" x14ac:dyDescent="0.25">
      <c r="A24" t="s">
        <v>413</v>
      </c>
    </row>
    <row r="25" spans="1:8" x14ac:dyDescent="0.25">
      <c r="A25" t="s">
        <v>822</v>
      </c>
    </row>
    <row r="26" spans="1:8" ht="30" customHeight="1" x14ac:dyDescent="0.25">
      <c r="A26" s="642" t="s">
        <v>819</v>
      </c>
      <c r="B26" s="642"/>
      <c r="C26" s="642"/>
      <c r="D26" s="642"/>
      <c r="E26" s="642"/>
      <c r="F26" s="642"/>
      <c r="G26" s="642"/>
      <c r="H26" s="642"/>
    </row>
    <row r="29" spans="1:8" x14ac:dyDescent="0.25">
      <c r="A29" s="10"/>
    </row>
  </sheetData>
  <sortState xmlns:xlrd2="http://schemas.microsoft.com/office/spreadsheetml/2017/richdata2" ref="A7:G16">
    <sortCondition descending="1" ref="G7:G16"/>
  </sortState>
  <mergeCells count="1">
    <mergeCell ref="A26:H26"/>
  </mergeCells>
  <pageMargins left="0.70866141732283472" right="0.70866141732283472" top="0.78740157480314965" bottom="0.78740157480314965" header="0.31496062992125984" footer="0.31496062992125984"/>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30"/>
  <sheetViews>
    <sheetView workbookViewId="0"/>
  </sheetViews>
  <sheetFormatPr baseColWidth="10" defaultColWidth="11.42578125" defaultRowHeight="15" x14ac:dyDescent="0.25"/>
  <cols>
    <col min="3" max="3" width="16" customWidth="1"/>
    <col min="4" max="4" width="14.140625" customWidth="1"/>
    <col min="5" max="5" width="13.42578125" customWidth="1"/>
    <col min="6" max="6" width="14.5703125" customWidth="1"/>
    <col min="7" max="8" width="12.5703125" customWidth="1"/>
  </cols>
  <sheetData>
    <row r="1" spans="1:9" ht="21" x14ac:dyDescent="0.35">
      <c r="A1" s="162" t="s">
        <v>332</v>
      </c>
      <c r="B1" s="224"/>
      <c r="C1" s="615" t="s">
        <v>1304</v>
      </c>
      <c r="D1" s="615"/>
    </row>
    <row r="3" spans="1:9" x14ac:dyDescent="0.25">
      <c r="A3" s="300" t="s">
        <v>818</v>
      </c>
    </row>
    <row r="5" spans="1:9" x14ac:dyDescent="0.25">
      <c r="B5" s="58"/>
    </row>
    <row r="6" spans="1:9" ht="25.5" x14ac:dyDescent="0.25">
      <c r="A6" s="409" t="s">
        <v>333</v>
      </c>
      <c r="B6" s="409" t="s">
        <v>334</v>
      </c>
      <c r="C6" s="409" t="s">
        <v>335</v>
      </c>
      <c r="D6" s="409" t="s">
        <v>336</v>
      </c>
      <c r="E6" s="409" t="s">
        <v>337</v>
      </c>
      <c r="F6" s="409" t="s">
        <v>817</v>
      </c>
      <c r="G6" s="409" t="s">
        <v>338</v>
      </c>
      <c r="H6" s="409" t="s">
        <v>619</v>
      </c>
      <c r="I6" s="409" t="s">
        <v>339</v>
      </c>
    </row>
    <row r="7" spans="1:9" x14ac:dyDescent="0.25">
      <c r="A7" s="39">
        <v>14114</v>
      </c>
      <c r="B7" s="163">
        <v>59.199999999999996</v>
      </c>
      <c r="C7" s="410">
        <v>57500</v>
      </c>
      <c r="D7" s="229">
        <v>9</v>
      </c>
      <c r="E7" s="412">
        <f t="shared" ref="E7:E16" si="0">B7*C7/D7</f>
        <v>378222.22222222219</v>
      </c>
      <c r="F7" s="413">
        <f t="shared" ref="F7:F16" si="1">B7*C7</f>
        <v>3403999.9999999995</v>
      </c>
      <c r="G7" s="416">
        <f t="shared" ref="G7:G16" si="2">F7/$F$18</f>
        <v>0.36765023545167835</v>
      </c>
      <c r="H7" s="416">
        <f>G7</f>
        <v>0.36765023545167835</v>
      </c>
      <c r="I7" s="39" t="str">
        <f>IF(H7&lt;=80%,"A",IF(H7&lt;95%,"B","C"))</f>
        <v>A</v>
      </c>
    </row>
    <row r="8" spans="1:9" x14ac:dyDescent="0.25">
      <c r="A8" s="39">
        <v>14116</v>
      </c>
      <c r="B8" s="163">
        <v>34.799999999999997</v>
      </c>
      <c r="C8" s="410">
        <v>62000</v>
      </c>
      <c r="D8" s="229">
        <v>13</v>
      </c>
      <c r="E8" s="412">
        <f t="shared" si="0"/>
        <v>165969.23076923078</v>
      </c>
      <c r="F8" s="413">
        <f t="shared" si="1"/>
        <v>2157600</v>
      </c>
      <c r="G8" s="416">
        <f t="shared" si="2"/>
        <v>0.23303235840497688</v>
      </c>
      <c r="H8" s="416">
        <f>H7+G8</f>
        <v>0.60068259385665523</v>
      </c>
      <c r="I8" s="39" t="str">
        <f t="shared" ref="I8:I16" si="3">IF(H8&lt;=80%,"A",IF(H8&lt;95%,"B","C"))</f>
        <v>A</v>
      </c>
    </row>
    <row r="9" spans="1:9" x14ac:dyDescent="0.25">
      <c r="A9" s="39">
        <v>14118</v>
      </c>
      <c r="B9" s="163">
        <v>20.2</v>
      </c>
      <c r="C9" s="410">
        <v>49900</v>
      </c>
      <c r="D9" s="173">
        <v>7</v>
      </c>
      <c r="E9" s="412">
        <f t="shared" si="0"/>
        <v>143997.14285714287</v>
      </c>
      <c r="F9" s="413">
        <f t="shared" si="1"/>
        <v>1007980</v>
      </c>
      <c r="G9" s="416">
        <f t="shared" si="2"/>
        <v>0.10886723981509483</v>
      </c>
      <c r="H9" s="416">
        <f t="shared" ref="H9:H16" si="4">H8+G9</f>
        <v>0.70954983367175006</v>
      </c>
      <c r="I9" s="39" t="str">
        <f t="shared" si="3"/>
        <v>A</v>
      </c>
    </row>
    <row r="10" spans="1:9" x14ac:dyDescent="0.25">
      <c r="A10" s="39">
        <v>14113</v>
      </c>
      <c r="B10" s="163">
        <v>17.7</v>
      </c>
      <c r="C10" s="410">
        <v>42000</v>
      </c>
      <c r="D10" s="229">
        <v>17</v>
      </c>
      <c r="E10" s="412">
        <f t="shared" si="0"/>
        <v>43729.411764705881</v>
      </c>
      <c r="F10" s="413">
        <f t="shared" si="1"/>
        <v>743400</v>
      </c>
      <c r="G10" s="416">
        <f t="shared" si="2"/>
        <v>8.0291182442649156E-2</v>
      </c>
      <c r="H10" s="416">
        <f t="shared" si="4"/>
        <v>0.78984101611439916</v>
      </c>
      <c r="I10" s="39" t="str">
        <f t="shared" si="3"/>
        <v>A</v>
      </c>
    </row>
    <row r="11" spans="1:9" x14ac:dyDescent="0.25">
      <c r="A11" s="39">
        <v>14122</v>
      </c>
      <c r="B11" s="163">
        <v>17.75</v>
      </c>
      <c r="C11" s="410">
        <v>28400</v>
      </c>
      <c r="D11" s="173">
        <v>15</v>
      </c>
      <c r="E11" s="412">
        <f t="shared" si="0"/>
        <v>33606.666666666664</v>
      </c>
      <c r="F11" s="413">
        <f t="shared" si="1"/>
        <v>504100</v>
      </c>
      <c r="G11" s="416">
        <f t="shared" si="2"/>
        <v>5.4445500496824645E-2</v>
      </c>
      <c r="H11" s="416">
        <f t="shared" si="4"/>
        <v>0.84428651661122378</v>
      </c>
      <c r="I11" s="39" t="str">
        <f t="shared" si="3"/>
        <v>B</v>
      </c>
    </row>
    <row r="12" spans="1:9" x14ac:dyDescent="0.25">
      <c r="A12" s="39">
        <v>14117</v>
      </c>
      <c r="B12" s="163">
        <v>12.4</v>
      </c>
      <c r="C12" s="410">
        <v>32000</v>
      </c>
      <c r="D12" s="229">
        <v>13</v>
      </c>
      <c r="E12" s="412">
        <f t="shared" si="0"/>
        <v>30523.076923076922</v>
      </c>
      <c r="F12" s="413">
        <f t="shared" si="1"/>
        <v>396800</v>
      </c>
      <c r="G12" s="416">
        <f t="shared" si="2"/>
        <v>4.2856525683673909E-2</v>
      </c>
      <c r="H12" s="416">
        <f t="shared" si="4"/>
        <v>0.88714304229489771</v>
      </c>
      <c r="I12" s="39" t="str">
        <f t="shared" si="3"/>
        <v>B</v>
      </c>
    </row>
    <row r="13" spans="1:9" x14ac:dyDescent="0.25">
      <c r="A13" s="39">
        <v>14119</v>
      </c>
      <c r="B13" s="163">
        <v>4.5999999999999996</v>
      </c>
      <c r="C13" s="410">
        <v>76000</v>
      </c>
      <c r="D13" s="173">
        <v>25</v>
      </c>
      <c r="E13" s="412">
        <f t="shared" si="0"/>
        <v>13984</v>
      </c>
      <c r="F13" s="413">
        <f t="shared" si="1"/>
        <v>349600</v>
      </c>
      <c r="G13" s="416">
        <f t="shared" si="2"/>
        <v>3.7758672830172375E-2</v>
      </c>
      <c r="H13" s="416">
        <f t="shared" si="4"/>
        <v>0.92490171512507013</v>
      </c>
      <c r="I13" s="39" t="str">
        <f t="shared" si="3"/>
        <v>B</v>
      </c>
    </row>
    <row r="14" spans="1:9" x14ac:dyDescent="0.25">
      <c r="A14" s="39">
        <v>14121</v>
      </c>
      <c r="B14" s="163">
        <v>1.55</v>
      </c>
      <c r="C14" s="410">
        <v>188000</v>
      </c>
      <c r="D14" s="173">
        <v>26</v>
      </c>
      <c r="E14" s="412">
        <f t="shared" si="0"/>
        <v>11207.692307692309</v>
      </c>
      <c r="F14" s="413">
        <f t="shared" si="1"/>
        <v>291400</v>
      </c>
      <c r="G14" s="416">
        <f t="shared" si="2"/>
        <v>3.1472761048948028E-2</v>
      </c>
      <c r="H14" s="416">
        <f t="shared" si="4"/>
        <v>0.95637447617401816</v>
      </c>
      <c r="I14" s="39" t="str">
        <f t="shared" si="3"/>
        <v>C</v>
      </c>
    </row>
    <row r="15" spans="1:9" x14ac:dyDescent="0.25">
      <c r="A15" s="39">
        <v>14120</v>
      </c>
      <c r="B15" s="163">
        <v>7.8000000000000007</v>
      </c>
      <c r="C15" s="410">
        <v>34100</v>
      </c>
      <c r="D15" s="173">
        <v>11</v>
      </c>
      <c r="E15" s="412">
        <f t="shared" si="0"/>
        <v>24180</v>
      </c>
      <c r="F15" s="413">
        <f t="shared" si="1"/>
        <v>265980</v>
      </c>
      <c r="G15" s="416">
        <f t="shared" si="2"/>
        <v>2.8727264872337666E-2</v>
      </c>
      <c r="H15" s="416">
        <f t="shared" si="4"/>
        <v>0.98510174104635584</v>
      </c>
      <c r="I15" s="39" t="str">
        <f t="shared" si="3"/>
        <v>C</v>
      </c>
    </row>
    <row r="16" spans="1:9" x14ac:dyDescent="0.25">
      <c r="A16" s="39">
        <v>14115</v>
      </c>
      <c r="B16" s="163">
        <v>1.65</v>
      </c>
      <c r="C16" s="410">
        <v>83600</v>
      </c>
      <c r="D16" s="229">
        <v>23</v>
      </c>
      <c r="E16" s="412">
        <f t="shared" si="0"/>
        <v>5997.391304347826</v>
      </c>
      <c r="F16" s="413">
        <f t="shared" si="1"/>
        <v>137940</v>
      </c>
      <c r="G16" s="416">
        <f t="shared" si="2"/>
        <v>1.48982589536441E-2</v>
      </c>
      <c r="H16" s="416">
        <f t="shared" si="4"/>
        <v>0.99999999999999989</v>
      </c>
      <c r="I16" s="39" t="str">
        <f t="shared" si="3"/>
        <v>C</v>
      </c>
    </row>
    <row r="17" spans="1:9" x14ac:dyDescent="0.25">
      <c r="A17" s="33"/>
      <c r="B17" s="33"/>
      <c r="C17" s="33"/>
      <c r="D17" s="33"/>
      <c r="E17" s="137"/>
      <c r="F17" s="137"/>
      <c r="G17" s="138"/>
      <c r="H17" s="138"/>
      <c r="I17" s="39"/>
    </row>
    <row r="18" spans="1:9" x14ac:dyDescent="0.25">
      <c r="A18" s="411" t="s">
        <v>46</v>
      </c>
      <c r="B18" s="33"/>
      <c r="C18" s="33"/>
      <c r="D18" s="33"/>
      <c r="E18" s="414">
        <f>SUM(E7:E16)</f>
        <v>851416.83481508528</v>
      </c>
      <c r="F18" s="414">
        <f t="shared" ref="F18:G18" si="5">SUM(F7:F16)</f>
        <v>9258800</v>
      </c>
      <c r="G18" s="415">
        <f t="shared" si="5"/>
        <v>0.99999999999999989</v>
      </c>
      <c r="H18" s="415"/>
      <c r="I18" s="39"/>
    </row>
    <row r="21" spans="1:9" x14ac:dyDescent="0.25">
      <c r="A21" t="s">
        <v>412</v>
      </c>
    </row>
    <row r="22" spans="1:9" x14ac:dyDescent="0.25">
      <c r="A22" t="s">
        <v>820</v>
      </c>
    </row>
    <row r="23" spans="1:9" x14ac:dyDescent="0.25">
      <c r="A23" t="s">
        <v>821</v>
      </c>
    </row>
    <row r="24" spans="1:9" x14ac:dyDescent="0.25">
      <c r="A24" t="s">
        <v>413</v>
      </c>
    </row>
    <row r="25" spans="1:9" x14ac:dyDescent="0.25">
      <c r="A25" t="s">
        <v>822</v>
      </c>
    </row>
    <row r="26" spans="1:9" ht="30" customHeight="1" x14ac:dyDescent="0.25">
      <c r="A26" s="642" t="s">
        <v>819</v>
      </c>
      <c r="B26" s="642"/>
      <c r="C26" s="642"/>
      <c r="D26" s="642"/>
      <c r="E26" s="642"/>
      <c r="F26" s="642"/>
      <c r="G26" s="642"/>
      <c r="H26" s="642"/>
      <c r="I26" s="642"/>
    </row>
    <row r="29" spans="1:9" x14ac:dyDescent="0.25">
      <c r="A29" s="10" t="s">
        <v>620</v>
      </c>
    </row>
    <row r="30" spans="1:9" x14ac:dyDescent="0.25">
      <c r="A30" t="s">
        <v>823</v>
      </c>
    </row>
  </sheetData>
  <mergeCells count="1">
    <mergeCell ref="A26:I26"/>
  </mergeCells>
  <pageMargins left="0.7" right="0.7" top="0.78740157499999996" bottom="0.78740157499999996"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29"/>
  <sheetViews>
    <sheetView workbookViewId="0"/>
  </sheetViews>
  <sheetFormatPr baseColWidth="10" defaultColWidth="11.42578125" defaultRowHeight="15" x14ac:dyDescent="0.25"/>
  <cols>
    <col min="3" max="3" width="18.140625" customWidth="1"/>
    <col min="5" max="5" width="15.85546875" customWidth="1"/>
  </cols>
  <sheetData>
    <row r="1" spans="1:4" ht="21" x14ac:dyDescent="0.35">
      <c r="A1" s="162" t="s">
        <v>340</v>
      </c>
      <c r="B1" s="203"/>
      <c r="C1" s="615" t="s">
        <v>1303</v>
      </c>
      <c r="D1" s="615"/>
    </row>
    <row r="3" spans="1:4" x14ac:dyDescent="0.25">
      <c r="A3" s="300" t="s">
        <v>824</v>
      </c>
    </row>
    <row r="5" spans="1:4" x14ac:dyDescent="0.25">
      <c r="A5" s="203"/>
      <c r="B5" s="218"/>
      <c r="C5" s="218"/>
      <c r="D5" s="218"/>
    </row>
    <row r="6" spans="1:4" x14ac:dyDescent="0.25">
      <c r="A6" s="669" t="s">
        <v>341</v>
      </c>
      <c r="B6" s="669"/>
      <c r="C6" s="670" t="s">
        <v>342</v>
      </c>
      <c r="D6" s="670"/>
    </row>
    <row r="7" spans="1:4" ht="25.5" x14ac:dyDescent="0.25">
      <c r="A7" s="219" t="s">
        <v>343</v>
      </c>
      <c r="B7" s="220">
        <v>49.5</v>
      </c>
      <c r="C7" s="221" t="s">
        <v>344</v>
      </c>
      <c r="D7" s="222">
        <v>7.95</v>
      </c>
    </row>
    <row r="8" spans="1:4" ht="25.5" x14ac:dyDescent="0.25">
      <c r="A8" s="417"/>
      <c r="B8" s="418"/>
      <c r="C8" s="223" t="s">
        <v>345</v>
      </c>
      <c r="D8" s="222">
        <v>28.2</v>
      </c>
    </row>
    <row r="9" spans="1:4" ht="30" customHeight="1" x14ac:dyDescent="0.25">
      <c r="A9" s="419"/>
      <c r="B9" s="420"/>
      <c r="C9" s="223" t="s">
        <v>826</v>
      </c>
      <c r="D9" s="222">
        <v>72800</v>
      </c>
    </row>
    <row r="13" spans="1:4" x14ac:dyDescent="0.25">
      <c r="A13" t="s">
        <v>825</v>
      </c>
    </row>
    <row r="14" spans="1:4" x14ac:dyDescent="0.25">
      <c r="A14" s="9" t="s">
        <v>832</v>
      </c>
    </row>
    <row r="15" spans="1:4" x14ac:dyDescent="0.25">
      <c r="A15" s="9" t="s">
        <v>414</v>
      </c>
    </row>
    <row r="16" spans="1:4" x14ac:dyDescent="0.25">
      <c r="A16" s="9" t="s">
        <v>415</v>
      </c>
    </row>
    <row r="17" spans="1:7" x14ac:dyDescent="0.25">
      <c r="A17" t="s">
        <v>416</v>
      </c>
    </row>
    <row r="18" spans="1:7" x14ac:dyDescent="0.25">
      <c r="A18" s="9" t="s">
        <v>828</v>
      </c>
    </row>
    <row r="19" spans="1:7" x14ac:dyDescent="0.25">
      <c r="A19" s="9" t="s">
        <v>827</v>
      </c>
    </row>
    <row r="20" spans="1:7" x14ac:dyDescent="0.25">
      <c r="A20" s="9" t="s">
        <v>417</v>
      </c>
    </row>
    <row r="21" spans="1:7" ht="30" customHeight="1" x14ac:dyDescent="0.25">
      <c r="A21" s="671" t="s">
        <v>834</v>
      </c>
      <c r="B21" s="671"/>
      <c r="C21" s="671"/>
      <c r="D21" s="671"/>
      <c r="E21" s="671"/>
      <c r="F21" s="671"/>
      <c r="G21" s="671"/>
    </row>
    <row r="22" spans="1:7" x14ac:dyDescent="0.25">
      <c r="A22" s="9" t="s">
        <v>624</v>
      </c>
    </row>
    <row r="23" spans="1:7" x14ac:dyDescent="0.25">
      <c r="A23" s="40" t="s">
        <v>418</v>
      </c>
    </row>
    <row r="24" spans="1:7" x14ac:dyDescent="0.25">
      <c r="A24" s="40" t="s">
        <v>419</v>
      </c>
    </row>
    <row r="25" spans="1:7" x14ac:dyDescent="0.25">
      <c r="A25" s="40" t="s">
        <v>625</v>
      </c>
    </row>
    <row r="26" spans="1:7" x14ac:dyDescent="0.25">
      <c r="A26" s="40" t="s">
        <v>833</v>
      </c>
    </row>
    <row r="29" spans="1:7" x14ac:dyDescent="0.25">
      <c r="A29" s="426"/>
    </row>
  </sheetData>
  <mergeCells count="3">
    <mergeCell ref="A6:B6"/>
    <mergeCell ref="C6:D6"/>
    <mergeCell ref="A21:G21"/>
  </mergeCells>
  <pageMargins left="0.70866141732283472" right="0.70866141732283472" top="0.78740157480314965" bottom="0.78740157480314965" header="0.31496062992125984"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44"/>
  <sheetViews>
    <sheetView workbookViewId="0"/>
  </sheetViews>
  <sheetFormatPr baseColWidth="10" defaultColWidth="11.42578125" defaultRowHeight="15" x14ac:dyDescent="0.25"/>
  <cols>
    <col min="3" max="3" width="18.140625" customWidth="1"/>
    <col min="4" max="4" width="12.140625" customWidth="1"/>
    <col min="5" max="5" width="15.85546875" customWidth="1"/>
  </cols>
  <sheetData>
    <row r="1" spans="1:5" ht="21" x14ac:dyDescent="0.35">
      <c r="A1" s="162" t="s">
        <v>340</v>
      </c>
      <c r="B1" s="203"/>
      <c r="C1" s="615" t="s">
        <v>1304</v>
      </c>
      <c r="D1" s="615"/>
    </row>
    <row r="3" spans="1:5" x14ac:dyDescent="0.25">
      <c r="A3" s="300" t="s">
        <v>824</v>
      </c>
    </row>
    <row r="5" spans="1:5" x14ac:dyDescent="0.25">
      <c r="A5" s="203"/>
      <c r="B5" s="218"/>
      <c r="C5" s="218"/>
      <c r="D5" s="218"/>
    </row>
    <row r="6" spans="1:5" x14ac:dyDescent="0.25">
      <c r="A6" s="669" t="s">
        <v>341</v>
      </c>
      <c r="B6" s="669"/>
      <c r="C6" s="670" t="s">
        <v>342</v>
      </c>
      <c r="D6" s="670"/>
    </row>
    <row r="7" spans="1:5" ht="25.5" x14ac:dyDescent="0.25">
      <c r="A7" s="219" t="s">
        <v>343</v>
      </c>
      <c r="B7" s="220">
        <v>49.5</v>
      </c>
      <c r="C7" s="221" t="s">
        <v>344</v>
      </c>
      <c r="D7" s="222">
        <v>7.95</v>
      </c>
    </row>
    <row r="8" spans="1:5" ht="25.5" x14ac:dyDescent="0.25">
      <c r="A8" s="417"/>
      <c r="B8" s="418"/>
      <c r="C8" s="223" t="s">
        <v>345</v>
      </c>
      <c r="D8" s="222">
        <v>28.2</v>
      </c>
    </row>
    <row r="9" spans="1:5" ht="30" customHeight="1" x14ac:dyDescent="0.25">
      <c r="A9" s="419"/>
      <c r="B9" s="420"/>
      <c r="C9" s="223" t="s">
        <v>826</v>
      </c>
      <c r="D9" s="222">
        <v>72800</v>
      </c>
    </row>
    <row r="10" spans="1:5" ht="15.75" thickBot="1" x14ac:dyDescent="0.3"/>
    <row r="11" spans="1:5" ht="15.75" thickTop="1" x14ac:dyDescent="0.25">
      <c r="A11" s="430" t="s">
        <v>469</v>
      </c>
      <c r="B11" s="672" t="s">
        <v>621</v>
      </c>
      <c r="C11" s="673"/>
      <c r="D11" s="674" t="s">
        <v>622</v>
      </c>
      <c r="E11" s="675"/>
    </row>
    <row r="12" spans="1:5" x14ac:dyDescent="0.25">
      <c r="A12" s="431"/>
      <c r="B12" s="432" t="s">
        <v>623</v>
      </c>
      <c r="C12" s="433" t="s">
        <v>353</v>
      </c>
      <c r="D12" s="427" t="s">
        <v>623</v>
      </c>
      <c r="E12" s="423" t="s">
        <v>353</v>
      </c>
    </row>
    <row r="13" spans="1:5" x14ac:dyDescent="0.25">
      <c r="A13" s="438">
        <v>1000</v>
      </c>
      <c r="B13" s="434">
        <f>$B$7</f>
        <v>49.5</v>
      </c>
      <c r="C13" s="435">
        <f>B13*A13</f>
        <v>49500</v>
      </c>
      <c r="D13" s="428">
        <f>$D$7+$D$8+$D$9/A13</f>
        <v>108.94999999999999</v>
      </c>
      <c r="E13" s="424">
        <f>D13*A13</f>
        <v>108949.99999999999</v>
      </c>
    </row>
    <row r="14" spans="1:5" x14ac:dyDescent="0.25">
      <c r="A14" s="438">
        <v>2000</v>
      </c>
      <c r="B14" s="434">
        <f t="shared" ref="B14:B22" si="0">$B$7</f>
        <v>49.5</v>
      </c>
      <c r="C14" s="435">
        <f t="shared" ref="C14:C22" si="1">B14*A14</f>
        <v>99000</v>
      </c>
      <c r="D14" s="428">
        <f t="shared" ref="D14:D22" si="2">$D$7+$D$8+$D$9/A14</f>
        <v>72.55</v>
      </c>
      <c r="E14" s="424">
        <f t="shared" ref="E14:E22" si="3">D14*A14</f>
        <v>145100</v>
      </c>
    </row>
    <row r="15" spans="1:5" x14ac:dyDescent="0.25">
      <c r="A15" s="438">
        <v>3000</v>
      </c>
      <c r="B15" s="434">
        <f t="shared" si="0"/>
        <v>49.5</v>
      </c>
      <c r="C15" s="435">
        <f t="shared" si="1"/>
        <v>148500</v>
      </c>
      <c r="D15" s="428">
        <f t="shared" si="2"/>
        <v>60.416666666666664</v>
      </c>
      <c r="E15" s="424">
        <f t="shared" si="3"/>
        <v>181250</v>
      </c>
    </row>
    <row r="16" spans="1:5" x14ac:dyDescent="0.25">
      <c r="A16" s="438">
        <v>4000</v>
      </c>
      <c r="B16" s="434">
        <f t="shared" si="0"/>
        <v>49.5</v>
      </c>
      <c r="C16" s="435">
        <f t="shared" si="1"/>
        <v>198000</v>
      </c>
      <c r="D16" s="428">
        <f t="shared" si="2"/>
        <v>54.349999999999994</v>
      </c>
      <c r="E16" s="424">
        <f t="shared" si="3"/>
        <v>217399.99999999997</v>
      </c>
    </row>
    <row r="17" spans="1:5" x14ac:dyDescent="0.25">
      <c r="A17" s="438">
        <v>5000</v>
      </c>
      <c r="B17" s="434">
        <f t="shared" si="0"/>
        <v>49.5</v>
      </c>
      <c r="C17" s="435">
        <f t="shared" si="1"/>
        <v>247500</v>
      </c>
      <c r="D17" s="428">
        <f t="shared" si="2"/>
        <v>50.71</v>
      </c>
      <c r="E17" s="424">
        <f t="shared" si="3"/>
        <v>253550</v>
      </c>
    </row>
    <row r="18" spans="1:5" x14ac:dyDescent="0.25">
      <c r="A18" s="438">
        <v>6000</v>
      </c>
      <c r="B18" s="434">
        <f t="shared" si="0"/>
        <v>49.5</v>
      </c>
      <c r="C18" s="435">
        <f t="shared" si="1"/>
        <v>297000</v>
      </c>
      <c r="D18" s="428">
        <f t="shared" si="2"/>
        <v>48.283333333333331</v>
      </c>
      <c r="E18" s="424">
        <f t="shared" si="3"/>
        <v>289700</v>
      </c>
    </row>
    <row r="19" spans="1:5" x14ac:dyDescent="0.25">
      <c r="A19" s="438">
        <v>7000</v>
      </c>
      <c r="B19" s="434">
        <f t="shared" si="0"/>
        <v>49.5</v>
      </c>
      <c r="C19" s="435">
        <f t="shared" si="1"/>
        <v>346500</v>
      </c>
      <c r="D19" s="428">
        <f t="shared" si="2"/>
        <v>46.55</v>
      </c>
      <c r="E19" s="424">
        <f t="shared" si="3"/>
        <v>325850</v>
      </c>
    </row>
    <row r="20" spans="1:5" x14ac:dyDescent="0.25">
      <c r="A20" s="438">
        <v>8000</v>
      </c>
      <c r="B20" s="434">
        <f t="shared" si="0"/>
        <v>49.5</v>
      </c>
      <c r="C20" s="435">
        <f t="shared" si="1"/>
        <v>396000</v>
      </c>
      <c r="D20" s="428">
        <f t="shared" si="2"/>
        <v>45.25</v>
      </c>
      <c r="E20" s="424">
        <f t="shared" si="3"/>
        <v>362000</v>
      </c>
    </row>
    <row r="21" spans="1:5" x14ac:dyDescent="0.25">
      <c r="A21" s="438">
        <v>9000</v>
      </c>
      <c r="B21" s="434">
        <f t="shared" si="0"/>
        <v>49.5</v>
      </c>
      <c r="C21" s="435">
        <f t="shared" si="1"/>
        <v>445500</v>
      </c>
      <c r="D21" s="428">
        <f t="shared" si="2"/>
        <v>44.238888888888887</v>
      </c>
      <c r="E21" s="424">
        <f t="shared" si="3"/>
        <v>398150</v>
      </c>
    </row>
    <row r="22" spans="1:5" ht="15.75" thickBot="1" x14ac:dyDescent="0.3">
      <c r="A22" s="439">
        <v>10000</v>
      </c>
      <c r="B22" s="436">
        <f t="shared" si="0"/>
        <v>49.5</v>
      </c>
      <c r="C22" s="437">
        <f t="shared" si="1"/>
        <v>495000</v>
      </c>
      <c r="D22" s="429">
        <f t="shared" si="2"/>
        <v>43.43</v>
      </c>
      <c r="E22" s="425">
        <f t="shared" si="3"/>
        <v>434300</v>
      </c>
    </row>
    <row r="23" spans="1:5" ht="15.75" thickTop="1" x14ac:dyDescent="0.25">
      <c r="E23" s="421"/>
    </row>
    <row r="25" spans="1:5" x14ac:dyDescent="0.25">
      <c r="A25" t="s">
        <v>825</v>
      </c>
    </row>
    <row r="26" spans="1:5" x14ac:dyDescent="0.25">
      <c r="A26" s="9" t="s">
        <v>832</v>
      </c>
    </row>
    <row r="27" spans="1:5" x14ac:dyDescent="0.25">
      <c r="A27" s="9" t="s">
        <v>414</v>
      </c>
    </row>
    <row r="28" spans="1:5" x14ac:dyDescent="0.25">
      <c r="A28" s="9" t="s">
        <v>415</v>
      </c>
    </row>
    <row r="29" spans="1:5" x14ac:dyDescent="0.25">
      <c r="A29" t="s">
        <v>416</v>
      </c>
    </row>
    <row r="30" spans="1:5" x14ac:dyDescent="0.25">
      <c r="A30" s="9" t="s">
        <v>828</v>
      </c>
    </row>
    <row r="31" spans="1:5" x14ac:dyDescent="0.25">
      <c r="A31" s="9" t="s">
        <v>827</v>
      </c>
    </row>
    <row r="32" spans="1:5" x14ac:dyDescent="0.25">
      <c r="A32" s="9" t="s">
        <v>417</v>
      </c>
    </row>
    <row r="33" spans="1:7" ht="30" customHeight="1" x14ac:dyDescent="0.25">
      <c r="A33" s="671" t="s">
        <v>834</v>
      </c>
      <c r="B33" s="671"/>
      <c r="C33" s="671"/>
      <c r="D33" s="671"/>
      <c r="E33" s="671"/>
      <c r="F33" s="671"/>
      <c r="G33" s="671"/>
    </row>
    <row r="34" spans="1:7" x14ac:dyDescent="0.25">
      <c r="A34" s="9" t="s">
        <v>624</v>
      </c>
    </row>
    <row r="35" spans="1:7" x14ac:dyDescent="0.25">
      <c r="A35" s="40" t="s">
        <v>418</v>
      </c>
    </row>
    <row r="36" spans="1:7" x14ac:dyDescent="0.25">
      <c r="A36" s="40" t="s">
        <v>419</v>
      </c>
    </row>
    <row r="37" spans="1:7" x14ac:dyDescent="0.25">
      <c r="A37" s="40" t="s">
        <v>625</v>
      </c>
    </row>
    <row r="38" spans="1:7" x14ac:dyDescent="0.25">
      <c r="A38" s="40" t="s">
        <v>833</v>
      </c>
    </row>
    <row r="41" spans="1:7" x14ac:dyDescent="0.25">
      <c r="A41" s="426" t="s">
        <v>620</v>
      </c>
    </row>
    <row r="42" spans="1:7" x14ac:dyDescent="0.25">
      <c r="A42" t="s">
        <v>829</v>
      </c>
    </row>
    <row r="43" spans="1:7" x14ac:dyDescent="0.25">
      <c r="A43" t="s">
        <v>830</v>
      </c>
    </row>
    <row r="44" spans="1:7" x14ac:dyDescent="0.25">
      <c r="A44" t="s">
        <v>831</v>
      </c>
    </row>
  </sheetData>
  <mergeCells count="5">
    <mergeCell ref="A6:B6"/>
    <mergeCell ref="C6:D6"/>
    <mergeCell ref="B11:C11"/>
    <mergeCell ref="D11:E11"/>
    <mergeCell ref="A33:G33"/>
  </mergeCells>
  <pageMargins left="0.7" right="0.7" top="0.78740157499999996" bottom="0.78740157499999996"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K28"/>
  <sheetViews>
    <sheetView workbookViewId="0"/>
  </sheetViews>
  <sheetFormatPr baseColWidth="10" defaultColWidth="11.42578125" defaultRowHeight="15" x14ac:dyDescent="0.25"/>
  <cols>
    <col min="1" max="1" width="32.85546875" bestFit="1" customWidth="1"/>
  </cols>
  <sheetData>
    <row r="1" spans="1:11" ht="21" x14ac:dyDescent="0.35">
      <c r="A1" s="162" t="s">
        <v>436</v>
      </c>
      <c r="B1" s="618" t="s">
        <v>1301</v>
      </c>
      <c r="C1" s="615"/>
      <c r="D1" s="615"/>
    </row>
    <row r="3" spans="1:11" x14ac:dyDescent="0.25">
      <c r="A3" s="300" t="s">
        <v>437</v>
      </c>
    </row>
    <row r="4" spans="1:11" ht="15.75" thickBot="1" x14ac:dyDescent="0.3"/>
    <row r="5" spans="1:11" ht="30.75" thickBot="1" x14ac:dyDescent="0.3">
      <c r="A5" s="81"/>
      <c r="B5" s="82" t="s">
        <v>438</v>
      </c>
      <c r="C5" s="82" t="s">
        <v>439</v>
      </c>
      <c r="D5" s="83" t="s">
        <v>440</v>
      </c>
    </row>
    <row r="6" spans="1:11" x14ac:dyDescent="0.25">
      <c r="A6" s="84" t="s">
        <v>441</v>
      </c>
      <c r="B6" s="39"/>
      <c r="C6" s="39"/>
      <c r="D6" s="442">
        <v>289</v>
      </c>
      <c r="E6" s="103"/>
      <c r="F6" s="104"/>
      <c r="G6" s="104"/>
      <c r="H6" s="104"/>
      <c r="I6" s="104"/>
      <c r="J6" s="104"/>
      <c r="K6" s="105"/>
    </row>
    <row r="7" spans="1:11" ht="15.75" thickBot="1" x14ac:dyDescent="0.3">
      <c r="A7" s="192" t="s">
        <v>68</v>
      </c>
      <c r="B7" s="193">
        <v>0.1</v>
      </c>
      <c r="C7" s="194"/>
      <c r="D7" s="443"/>
      <c r="E7" s="106"/>
      <c r="K7" s="107"/>
    </row>
    <row r="8" spans="1:11" ht="15.75" thickTop="1" x14ac:dyDescent="0.25">
      <c r="A8" s="195" t="s">
        <v>324</v>
      </c>
      <c r="B8" s="196"/>
      <c r="C8" s="196"/>
      <c r="D8" s="444"/>
      <c r="E8" s="106"/>
      <c r="K8" s="107"/>
    </row>
    <row r="9" spans="1:11" ht="15.75" thickBot="1" x14ac:dyDescent="0.3">
      <c r="A9" s="192" t="s">
        <v>506</v>
      </c>
      <c r="B9" s="193">
        <v>0.03</v>
      </c>
      <c r="C9" s="194"/>
      <c r="D9" s="443"/>
      <c r="E9" s="106"/>
      <c r="K9" s="107"/>
    </row>
    <row r="10" spans="1:11" ht="15.75" thickTop="1" x14ac:dyDescent="0.25">
      <c r="A10" s="84" t="s">
        <v>326</v>
      </c>
      <c r="B10" s="39"/>
      <c r="C10" s="39"/>
      <c r="D10" s="442"/>
      <c r="E10" s="106"/>
      <c r="K10" s="107"/>
    </row>
    <row r="11" spans="1:11" ht="15.75" thickBot="1" x14ac:dyDescent="0.3">
      <c r="A11" s="192" t="s">
        <v>72</v>
      </c>
      <c r="B11" s="193"/>
      <c r="C11" s="440">
        <v>9.5</v>
      </c>
      <c r="D11" s="443"/>
      <c r="E11" s="106"/>
      <c r="K11" s="107"/>
    </row>
    <row r="12" spans="1:11" ht="15.75" thickTop="1" x14ac:dyDescent="0.25">
      <c r="A12" s="84" t="s">
        <v>442</v>
      </c>
      <c r="B12" s="39"/>
      <c r="C12" s="39"/>
      <c r="D12" s="442"/>
      <c r="E12" s="106"/>
      <c r="G12" t="s">
        <v>792</v>
      </c>
      <c r="K12" s="107"/>
    </row>
    <row r="13" spans="1:11" ht="15.75" thickBot="1" x14ac:dyDescent="0.3">
      <c r="A13" s="192" t="s">
        <v>507</v>
      </c>
      <c r="B13" s="193">
        <v>0.16</v>
      </c>
      <c r="C13" s="194"/>
      <c r="D13" s="443"/>
      <c r="E13" s="106"/>
      <c r="K13" s="107"/>
    </row>
    <row r="14" spans="1:11" ht="15.75" thickTop="1" x14ac:dyDescent="0.25">
      <c r="A14" s="84" t="s">
        <v>443</v>
      </c>
      <c r="B14" s="39"/>
      <c r="C14" s="39"/>
      <c r="D14" s="442"/>
      <c r="E14" s="106"/>
      <c r="K14" s="107"/>
    </row>
    <row r="15" spans="1:11" ht="15.75" thickBot="1" x14ac:dyDescent="0.3">
      <c r="A15" s="192" t="s">
        <v>508</v>
      </c>
      <c r="B15" s="193">
        <v>0.2</v>
      </c>
      <c r="C15" s="194"/>
      <c r="D15" s="443"/>
      <c r="E15" s="106"/>
      <c r="K15" s="107"/>
    </row>
    <row r="16" spans="1:11" ht="15.75" thickTop="1" x14ac:dyDescent="0.25">
      <c r="A16" s="84" t="s">
        <v>444</v>
      </c>
      <c r="B16" s="39"/>
      <c r="C16" s="39"/>
      <c r="D16" s="442"/>
      <c r="E16" s="106"/>
      <c r="K16" s="107"/>
    </row>
    <row r="17" spans="1:11" x14ac:dyDescent="0.25">
      <c r="A17" s="197" t="s">
        <v>509</v>
      </c>
      <c r="B17" s="198">
        <v>0.03</v>
      </c>
      <c r="C17" s="39"/>
      <c r="D17" s="442"/>
      <c r="E17" s="106"/>
      <c r="K17" s="107"/>
    </row>
    <row r="18" spans="1:11" ht="15.75" thickBot="1" x14ac:dyDescent="0.3">
      <c r="A18" s="192" t="s">
        <v>510</v>
      </c>
      <c r="B18" s="193">
        <v>0.02</v>
      </c>
      <c r="C18" s="194"/>
      <c r="D18" s="443"/>
      <c r="E18" s="106"/>
      <c r="K18" s="107"/>
    </row>
    <row r="19" spans="1:11" ht="15.75" thickTop="1" x14ac:dyDescent="0.25">
      <c r="A19" s="84" t="s">
        <v>445</v>
      </c>
      <c r="B19" s="39"/>
      <c r="C19" s="39"/>
      <c r="D19" s="85"/>
      <c r="E19" s="106"/>
      <c r="K19" s="107"/>
    </row>
    <row r="20" spans="1:11" ht="15.75" thickBot="1" x14ac:dyDescent="0.3">
      <c r="A20" s="192" t="s">
        <v>511</v>
      </c>
      <c r="B20" s="193">
        <v>0.15</v>
      </c>
      <c r="C20" s="194"/>
      <c r="D20" s="139"/>
      <c r="E20" s="106"/>
      <c r="K20" s="107"/>
    </row>
    <row r="21" spans="1:11" ht="16.5" thickTop="1" thickBot="1" x14ac:dyDescent="0.3">
      <c r="A21" s="441" t="s">
        <v>446</v>
      </c>
      <c r="B21" s="39"/>
      <c r="C21" s="39"/>
      <c r="D21" s="140"/>
      <c r="E21" s="108"/>
      <c r="F21" s="109"/>
      <c r="G21" s="109"/>
      <c r="H21" s="109"/>
      <c r="I21" s="109"/>
      <c r="J21" s="109"/>
      <c r="K21" s="110"/>
    </row>
    <row r="22" spans="1:11" ht="15.75" thickBot="1" x14ac:dyDescent="0.3">
      <c r="A22" s="192" t="s">
        <v>512</v>
      </c>
      <c r="B22" s="193">
        <v>0.19</v>
      </c>
      <c r="C22" s="194"/>
      <c r="D22" s="443"/>
    </row>
    <row r="23" spans="1:11" ht="17.25" thickTop="1" thickBot="1" x14ac:dyDescent="0.3">
      <c r="A23" s="86" t="s">
        <v>447</v>
      </c>
      <c r="B23" s="180"/>
      <c r="C23" s="180"/>
      <c r="D23" s="445"/>
    </row>
    <row r="25" spans="1:11" x14ac:dyDescent="0.25">
      <c r="A25" t="s">
        <v>513</v>
      </c>
    </row>
    <row r="26" spans="1:11" ht="30" customHeight="1" x14ac:dyDescent="0.25">
      <c r="A26" s="642" t="s">
        <v>835</v>
      </c>
      <c r="B26" s="642"/>
      <c r="C26" s="642"/>
      <c r="D26" s="642"/>
      <c r="E26" s="642"/>
      <c r="F26" s="642"/>
    </row>
    <row r="27" spans="1:11" ht="30" customHeight="1" x14ac:dyDescent="0.25">
      <c r="A27" s="642" t="s">
        <v>836</v>
      </c>
      <c r="B27" s="642"/>
      <c r="C27" s="642"/>
      <c r="D27" s="642"/>
      <c r="E27" s="642"/>
      <c r="F27" s="642"/>
    </row>
    <row r="28" spans="1:11" x14ac:dyDescent="0.25">
      <c r="A28" t="s">
        <v>837</v>
      </c>
    </row>
  </sheetData>
  <mergeCells count="2">
    <mergeCell ref="A26:F26"/>
    <mergeCell ref="A27:F27"/>
  </mergeCells>
  <pageMargins left="0.70866141732283472" right="0.70866141732283472" top="0.78740157480314965" bottom="0.78740157480314965" header="0.31496062992125984" footer="0.31496062992125984"/>
  <pageSetup paperSize="9" scale="88"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45"/>
  <sheetViews>
    <sheetView workbookViewId="0"/>
  </sheetViews>
  <sheetFormatPr baseColWidth="10" defaultColWidth="11.42578125" defaultRowHeight="15" x14ac:dyDescent="0.25"/>
  <cols>
    <col min="1" max="1" width="32.85546875" bestFit="1" customWidth="1"/>
  </cols>
  <sheetData>
    <row r="1" spans="1:11" ht="21" x14ac:dyDescent="0.35">
      <c r="A1" s="162" t="s">
        <v>436</v>
      </c>
      <c r="B1" s="618" t="s">
        <v>1302</v>
      </c>
      <c r="C1" s="615"/>
      <c r="D1" s="615"/>
    </row>
    <row r="3" spans="1:11" x14ac:dyDescent="0.25">
      <c r="A3" s="300" t="s">
        <v>437</v>
      </c>
    </row>
    <row r="4" spans="1:11" ht="15.75" thickBot="1" x14ac:dyDescent="0.3"/>
    <row r="5" spans="1:11" ht="30.75" thickBot="1" x14ac:dyDescent="0.3">
      <c r="A5" s="81"/>
      <c r="B5" s="82" t="s">
        <v>438</v>
      </c>
      <c r="C5" s="82" t="s">
        <v>439</v>
      </c>
      <c r="D5" s="83" t="s">
        <v>440</v>
      </c>
    </row>
    <row r="6" spans="1:11" x14ac:dyDescent="0.25">
      <c r="A6" s="84" t="s">
        <v>441</v>
      </c>
      <c r="B6" s="39"/>
      <c r="C6" s="39"/>
      <c r="D6" s="442">
        <v>289</v>
      </c>
      <c r="E6" s="103"/>
      <c r="F6" s="104"/>
      <c r="G6" s="104"/>
      <c r="H6" s="104"/>
      <c r="I6" s="104"/>
      <c r="J6" s="104"/>
      <c r="K6" s="105"/>
    </row>
    <row r="7" spans="1:11" ht="15.75" thickBot="1" x14ac:dyDescent="0.3">
      <c r="A7" s="192" t="s">
        <v>68</v>
      </c>
      <c r="B7" s="193">
        <v>0.1</v>
      </c>
      <c r="C7" s="194"/>
      <c r="D7" s="443">
        <f>D6*B7</f>
        <v>28.900000000000002</v>
      </c>
      <c r="E7" s="106"/>
      <c r="K7" s="107"/>
    </row>
    <row r="8" spans="1:11" ht="15.75" thickTop="1" x14ac:dyDescent="0.25">
      <c r="A8" s="195" t="s">
        <v>324</v>
      </c>
      <c r="B8" s="196"/>
      <c r="C8" s="196"/>
      <c r="D8" s="444">
        <f>D6-D7</f>
        <v>260.10000000000002</v>
      </c>
      <c r="E8" s="106"/>
      <c r="K8" s="107"/>
    </row>
    <row r="9" spans="1:11" ht="15.75" thickBot="1" x14ac:dyDescent="0.3">
      <c r="A9" s="192" t="s">
        <v>506</v>
      </c>
      <c r="B9" s="193">
        <v>0.03</v>
      </c>
      <c r="C9" s="194"/>
      <c r="D9" s="443">
        <f>D8*B9</f>
        <v>7.8030000000000008</v>
      </c>
      <c r="E9" s="106"/>
      <c r="K9" s="107"/>
    </row>
    <row r="10" spans="1:11" ht="15.75" thickTop="1" x14ac:dyDescent="0.25">
      <c r="A10" s="84" t="s">
        <v>326</v>
      </c>
      <c r="B10" s="39"/>
      <c r="C10" s="39"/>
      <c r="D10" s="442">
        <f>D8-D9</f>
        <v>252.29700000000003</v>
      </c>
      <c r="E10" s="106"/>
      <c r="K10" s="107"/>
    </row>
    <row r="11" spans="1:11" ht="15.75" thickBot="1" x14ac:dyDescent="0.3">
      <c r="A11" s="192" t="s">
        <v>72</v>
      </c>
      <c r="B11" s="193"/>
      <c r="C11" s="440">
        <v>9.5</v>
      </c>
      <c r="D11" s="443">
        <f>C11</f>
        <v>9.5</v>
      </c>
      <c r="E11" s="106"/>
      <c r="K11" s="107"/>
    </row>
    <row r="12" spans="1:11" ht="15.75" thickTop="1" x14ac:dyDescent="0.25">
      <c r="A12" s="84" t="s">
        <v>442</v>
      </c>
      <c r="B12" s="39"/>
      <c r="C12" s="39"/>
      <c r="D12" s="442">
        <f>D10+D11</f>
        <v>261.79700000000003</v>
      </c>
      <c r="E12" s="106"/>
      <c r="K12" s="107"/>
    </row>
    <row r="13" spans="1:11" ht="15.75" thickBot="1" x14ac:dyDescent="0.3">
      <c r="A13" s="192" t="s">
        <v>507</v>
      </c>
      <c r="B13" s="193">
        <v>0.16</v>
      </c>
      <c r="C13" s="194"/>
      <c r="D13" s="443">
        <f>D12*B13</f>
        <v>41.887520000000002</v>
      </c>
      <c r="E13" s="106"/>
      <c r="K13" s="107"/>
    </row>
    <row r="14" spans="1:11" ht="15.75" thickTop="1" x14ac:dyDescent="0.25">
      <c r="A14" s="84" t="s">
        <v>443</v>
      </c>
      <c r="B14" s="39"/>
      <c r="C14" s="39"/>
      <c r="D14" s="442">
        <f>D12+D13</f>
        <v>303.68452000000002</v>
      </c>
      <c r="E14" s="106"/>
      <c r="K14" s="107"/>
    </row>
    <row r="15" spans="1:11" ht="15.75" thickBot="1" x14ac:dyDescent="0.3">
      <c r="A15" s="192" t="s">
        <v>508</v>
      </c>
      <c r="B15" s="193">
        <v>0.2</v>
      </c>
      <c r="C15" s="194"/>
      <c r="D15" s="443">
        <f>D14*B15</f>
        <v>60.73690400000001</v>
      </c>
      <c r="E15" s="106"/>
      <c r="K15" s="107"/>
    </row>
    <row r="16" spans="1:11" ht="15.75" thickTop="1" x14ac:dyDescent="0.25">
      <c r="A16" s="84" t="s">
        <v>444</v>
      </c>
      <c r="B16" s="39"/>
      <c r="C16" s="39"/>
      <c r="D16" s="442">
        <f>D14+D15</f>
        <v>364.421424</v>
      </c>
      <c r="E16" s="106"/>
      <c r="K16" s="107"/>
    </row>
    <row r="17" spans="1:11" x14ac:dyDescent="0.25">
      <c r="A17" s="197" t="s">
        <v>509</v>
      </c>
      <c r="B17" s="198">
        <v>0.03</v>
      </c>
      <c r="C17" s="39"/>
      <c r="D17" s="442">
        <f>B17*D19</f>
        <v>11.508044968421054</v>
      </c>
      <c r="E17" s="106"/>
      <c r="K17" s="107"/>
    </row>
    <row r="18" spans="1:11" ht="15.75" thickBot="1" x14ac:dyDescent="0.3">
      <c r="A18" s="192" t="s">
        <v>510</v>
      </c>
      <c r="B18" s="193">
        <v>0.02</v>
      </c>
      <c r="C18" s="194"/>
      <c r="D18" s="443">
        <f>B18*D19</f>
        <v>7.6720299789473687</v>
      </c>
      <c r="E18" s="106"/>
      <c r="K18" s="107"/>
    </row>
    <row r="19" spans="1:11" ht="15.75" thickTop="1" x14ac:dyDescent="0.25">
      <c r="A19" s="84" t="s">
        <v>445</v>
      </c>
      <c r="B19" s="39"/>
      <c r="C19" s="39"/>
      <c r="D19" s="85">
        <f>D16/(1-SUM(B17:B18))</f>
        <v>383.60149894736844</v>
      </c>
      <c r="E19" s="106"/>
      <c r="K19" s="107"/>
    </row>
    <row r="20" spans="1:11" ht="15.75" thickBot="1" x14ac:dyDescent="0.3">
      <c r="A20" s="192" t="s">
        <v>511</v>
      </c>
      <c r="B20" s="193">
        <v>0.15</v>
      </c>
      <c r="C20" s="194"/>
      <c r="D20" s="139">
        <f>+B20*D21</f>
        <v>67.694382167182667</v>
      </c>
      <c r="E20" s="106"/>
      <c r="K20" s="107"/>
    </row>
    <row r="21" spans="1:11" ht="16.5" thickTop="1" thickBot="1" x14ac:dyDescent="0.3">
      <c r="A21" s="441" t="s">
        <v>446</v>
      </c>
      <c r="B21" s="39"/>
      <c r="C21" s="39"/>
      <c r="D21" s="140">
        <f>D19/(1-B20)</f>
        <v>451.29588111455109</v>
      </c>
      <c r="E21" s="108"/>
      <c r="F21" s="109"/>
      <c r="G21" s="109"/>
      <c r="H21" s="109"/>
      <c r="I21" s="109"/>
      <c r="J21" s="109"/>
      <c r="K21" s="110"/>
    </row>
    <row r="22" spans="1:11" ht="15.75" thickBot="1" x14ac:dyDescent="0.3">
      <c r="A22" s="192" t="s">
        <v>512</v>
      </c>
      <c r="B22" s="193">
        <v>0.19</v>
      </c>
      <c r="C22" s="194"/>
      <c r="D22" s="443">
        <f>D21*B22</f>
        <v>85.746217411764704</v>
      </c>
    </row>
    <row r="23" spans="1:11" ht="17.25" thickTop="1" thickBot="1" x14ac:dyDescent="0.3">
      <c r="A23" s="86" t="s">
        <v>447</v>
      </c>
      <c r="B23" s="180"/>
      <c r="C23" s="180"/>
      <c r="D23" s="445">
        <f>D21+D22</f>
        <v>537.04209852631584</v>
      </c>
    </row>
    <row r="25" spans="1:11" x14ac:dyDescent="0.25">
      <c r="A25" t="s">
        <v>513</v>
      </c>
    </row>
    <row r="26" spans="1:11" ht="30" customHeight="1" x14ac:dyDescent="0.25">
      <c r="A26" s="642" t="s">
        <v>835</v>
      </c>
      <c r="B26" s="642"/>
      <c r="C26" s="642"/>
      <c r="D26" s="642"/>
      <c r="E26" s="642"/>
      <c r="F26" s="642"/>
    </row>
    <row r="27" spans="1:11" ht="30" customHeight="1" x14ac:dyDescent="0.25">
      <c r="A27" s="642" t="s">
        <v>836</v>
      </c>
      <c r="B27" s="642"/>
      <c r="C27" s="642"/>
      <c r="D27" s="642"/>
      <c r="E27" s="642"/>
      <c r="F27" s="642"/>
    </row>
    <row r="28" spans="1:11" x14ac:dyDescent="0.25">
      <c r="A28" t="s">
        <v>837</v>
      </c>
    </row>
    <row r="30" spans="1:11" x14ac:dyDescent="0.25">
      <c r="A30" s="10" t="s">
        <v>620</v>
      </c>
    </row>
    <row r="31" spans="1:11" x14ac:dyDescent="0.25">
      <c r="A31" t="s">
        <v>838</v>
      </c>
    </row>
    <row r="32" spans="1:11" x14ac:dyDescent="0.25">
      <c r="A32" t="s">
        <v>839</v>
      </c>
    </row>
    <row r="34" spans="1:1" x14ac:dyDescent="0.25">
      <c r="A34" s="10" t="s">
        <v>604</v>
      </c>
    </row>
    <row r="35" spans="1:1" x14ac:dyDescent="0.25">
      <c r="A35" t="s">
        <v>840</v>
      </c>
    </row>
    <row r="36" spans="1:1" x14ac:dyDescent="0.25">
      <c r="A36" t="s">
        <v>841</v>
      </c>
    </row>
    <row r="38" spans="1:1" x14ac:dyDescent="0.25">
      <c r="A38" t="s">
        <v>842</v>
      </c>
    </row>
    <row r="39" spans="1:1" x14ac:dyDescent="0.25">
      <c r="A39" t="s">
        <v>423</v>
      </c>
    </row>
    <row r="40" spans="1:1" x14ac:dyDescent="0.25">
      <c r="A40" s="52" t="s">
        <v>443</v>
      </c>
    </row>
    <row r="41" spans="1:1" x14ac:dyDescent="0.25">
      <c r="A41" s="52" t="s">
        <v>370</v>
      </c>
    </row>
    <row r="42" spans="1:1" x14ac:dyDescent="0.25">
      <c r="A42" s="52" t="s">
        <v>843</v>
      </c>
    </row>
    <row r="43" spans="1:1" x14ac:dyDescent="0.25">
      <c r="A43" s="52" t="s">
        <v>844</v>
      </c>
    </row>
    <row r="44" spans="1:1" x14ac:dyDescent="0.25">
      <c r="A44" s="52" t="s">
        <v>845</v>
      </c>
    </row>
    <row r="45" spans="1:1" x14ac:dyDescent="0.25">
      <c r="A45" t="s">
        <v>459</v>
      </c>
    </row>
  </sheetData>
  <mergeCells count="2">
    <mergeCell ref="A26:F26"/>
    <mergeCell ref="A27:F27"/>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R95"/>
  <sheetViews>
    <sheetView zoomScaleNormal="100" workbookViewId="0"/>
  </sheetViews>
  <sheetFormatPr baseColWidth="10" defaultRowHeight="15" x14ac:dyDescent="0.25"/>
  <cols>
    <col min="2" max="2" width="18.85546875" customWidth="1"/>
    <col min="3" max="3" width="19.140625" customWidth="1"/>
    <col min="4" max="4" width="18.7109375" customWidth="1"/>
    <col min="5" max="5" width="15.28515625" customWidth="1"/>
    <col min="6" max="6" width="11" customWidth="1"/>
    <col min="7" max="7" width="7.7109375" bestFit="1" customWidth="1"/>
    <col min="8" max="8" width="19.140625" customWidth="1"/>
    <col min="9" max="9" width="16.7109375" bestFit="1" customWidth="1"/>
    <col min="10" max="10" width="13.42578125" customWidth="1"/>
    <col min="11" max="11" width="18.28515625" customWidth="1"/>
    <col min="12" max="12" width="3.140625" customWidth="1"/>
    <col min="13" max="13" width="3.5703125" customWidth="1"/>
    <col min="14" max="14" width="18.5703125" bestFit="1" customWidth="1"/>
    <col min="15" max="15" width="16" bestFit="1" customWidth="1"/>
    <col min="16" max="16" width="14.5703125" customWidth="1"/>
    <col min="17" max="17" width="15.28515625" customWidth="1"/>
    <col min="18" max="18" width="17.28515625" bestFit="1" customWidth="1"/>
  </cols>
  <sheetData>
    <row r="3" spans="2:2" ht="18.75" x14ac:dyDescent="0.3">
      <c r="B3" s="522" t="s">
        <v>999</v>
      </c>
    </row>
    <row r="5" spans="2:2" x14ac:dyDescent="0.25">
      <c r="B5" t="s">
        <v>1000</v>
      </c>
    </row>
    <row r="6" spans="2:2" ht="18.75" x14ac:dyDescent="0.25">
      <c r="B6" s="539" t="s">
        <v>1001</v>
      </c>
    </row>
    <row r="8" spans="2:2" x14ac:dyDescent="0.25">
      <c r="B8" s="10" t="s">
        <v>1002</v>
      </c>
    </row>
    <row r="9" spans="2:2" x14ac:dyDescent="0.25">
      <c r="B9" s="540" t="s">
        <v>1020</v>
      </c>
    </row>
    <row r="10" spans="2:2" x14ac:dyDescent="0.25">
      <c r="B10" s="538"/>
    </row>
    <row r="11" spans="2:2" x14ac:dyDescent="0.25">
      <c r="B11" s="10" t="s">
        <v>1003</v>
      </c>
    </row>
    <row r="12" spans="2:2" x14ac:dyDescent="0.25">
      <c r="B12" t="s">
        <v>1007</v>
      </c>
    </row>
    <row r="13" spans="2:2" x14ac:dyDescent="0.25">
      <c r="B13" t="s">
        <v>1004</v>
      </c>
    </row>
    <row r="14" spans="2:2" x14ac:dyDescent="0.25">
      <c r="B14" t="s">
        <v>1005</v>
      </c>
    </row>
    <row r="16" spans="2:2" x14ac:dyDescent="0.25">
      <c r="B16" s="10" t="s">
        <v>1006</v>
      </c>
    </row>
    <row r="17" spans="2:3" x14ac:dyDescent="0.25">
      <c r="B17" t="s">
        <v>1008</v>
      </c>
    </row>
    <row r="18" spans="2:3" x14ac:dyDescent="0.25">
      <c r="B18" t="s">
        <v>1009</v>
      </c>
    </row>
    <row r="19" spans="2:3" x14ac:dyDescent="0.25">
      <c r="B19" t="s">
        <v>1010</v>
      </c>
    </row>
    <row r="21" spans="2:3" x14ac:dyDescent="0.25">
      <c r="B21" s="10" t="s">
        <v>1011</v>
      </c>
    </row>
    <row r="22" spans="2:3" x14ac:dyDescent="0.25">
      <c r="B22" t="s">
        <v>1012</v>
      </c>
    </row>
    <row r="23" spans="2:3" x14ac:dyDescent="0.25">
      <c r="B23" s="538" t="s">
        <v>1038</v>
      </c>
    </row>
    <row r="24" spans="2:3" x14ac:dyDescent="0.25">
      <c r="B24" s="538" t="s">
        <v>1039</v>
      </c>
    </row>
    <row r="25" spans="2:3" x14ac:dyDescent="0.25">
      <c r="B25" s="538"/>
    </row>
    <row r="26" spans="2:3" x14ac:dyDescent="0.25">
      <c r="B26" s="540" t="s">
        <v>1013</v>
      </c>
    </row>
    <row r="27" spans="2:3" x14ac:dyDescent="0.25">
      <c r="B27" s="540" t="s">
        <v>1014</v>
      </c>
    </row>
    <row r="28" spans="2:3" x14ac:dyDescent="0.25">
      <c r="B28" s="540" t="s">
        <v>1015</v>
      </c>
    </row>
    <row r="29" spans="2:3" x14ac:dyDescent="0.25">
      <c r="B29" s="540" t="s">
        <v>1021</v>
      </c>
    </row>
    <row r="30" spans="2:3" x14ac:dyDescent="0.25">
      <c r="B30" s="538"/>
    </row>
    <row r="31" spans="2:3" x14ac:dyDescent="0.25">
      <c r="B31" s="545" t="s">
        <v>1016</v>
      </c>
    </row>
    <row r="32" spans="2:3" x14ac:dyDescent="0.25">
      <c r="B32" s="544" t="s">
        <v>351</v>
      </c>
      <c r="C32" s="160" t="s">
        <v>954</v>
      </c>
    </row>
    <row r="33" spans="1:4" x14ac:dyDescent="0.25">
      <c r="B33" s="541">
        <v>0</v>
      </c>
      <c r="C33" s="198">
        <v>0.1</v>
      </c>
    </row>
    <row r="34" spans="1:4" x14ac:dyDescent="0.25">
      <c r="A34" s="87" t="s">
        <v>955</v>
      </c>
      <c r="B34" s="541">
        <v>1000</v>
      </c>
      <c r="C34" s="198">
        <v>0.2</v>
      </c>
    </row>
    <row r="35" spans="1:4" x14ac:dyDescent="0.25">
      <c r="B35" s="538"/>
    </row>
    <row r="36" spans="1:4" x14ac:dyDescent="0.25">
      <c r="B36" s="540" t="s">
        <v>1017</v>
      </c>
    </row>
    <row r="37" spans="1:4" ht="15.75" thickBot="1" x14ac:dyDescent="0.3">
      <c r="B37" s="544" t="s">
        <v>351</v>
      </c>
      <c r="C37" s="519" t="s">
        <v>954</v>
      </c>
    </row>
    <row r="38" spans="1:4" ht="15.75" thickBot="1" x14ac:dyDescent="0.3">
      <c r="B38" s="542">
        <v>950</v>
      </c>
      <c r="C38" s="543">
        <f>VLOOKUP(B38,$B$33:$C$34,2,TRUE)</f>
        <v>0.1</v>
      </c>
      <c r="D38" s="64" t="s">
        <v>1018</v>
      </c>
    </row>
    <row r="39" spans="1:4" ht="15.75" thickBot="1" x14ac:dyDescent="0.3">
      <c r="B39" s="541">
        <v>1200</v>
      </c>
      <c r="C39" s="543">
        <f t="shared" ref="C39:C40" si="0">VLOOKUP(B39,$B$33:$C$34,2,TRUE)</f>
        <v>0.2</v>
      </c>
    </row>
    <row r="40" spans="1:4" ht="15.75" thickBot="1" x14ac:dyDescent="0.3">
      <c r="B40" s="541">
        <v>120</v>
      </c>
      <c r="C40" s="543">
        <f t="shared" si="0"/>
        <v>0.1</v>
      </c>
    </row>
    <row r="41" spans="1:4" x14ac:dyDescent="0.25">
      <c r="B41" s="538"/>
    </row>
    <row r="42" spans="1:4" x14ac:dyDescent="0.25">
      <c r="B42" s="540" t="s">
        <v>1022</v>
      </c>
    </row>
    <row r="43" spans="1:4" x14ac:dyDescent="0.25">
      <c r="B43" s="547" t="s">
        <v>1023</v>
      </c>
    </row>
    <row r="44" spans="1:4" x14ac:dyDescent="0.25">
      <c r="B44" s="540" t="s">
        <v>1040</v>
      </c>
    </row>
    <row r="45" spans="1:4" x14ac:dyDescent="0.25">
      <c r="B45" s="546" t="s">
        <v>1019</v>
      </c>
    </row>
    <row r="49" spans="2:16" ht="15.75" x14ac:dyDescent="0.25">
      <c r="B49" s="144" t="s">
        <v>1077</v>
      </c>
      <c r="G49" s="10" t="s">
        <v>1284</v>
      </c>
      <c r="N49" s="10" t="s">
        <v>1076</v>
      </c>
    </row>
    <row r="50" spans="2:16" ht="16.5" thickBot="1" x14ac:dyDescent="0.3">
      <c r="B50" s="144" t="s">
        <v>988</v>
      </c>
    </row>
    <row r="51" spans="2:16" ht="15.75" thickBot="1" x14ac:dyDescent="0.3">
      <c r="B51" s="535" t="s">
        <v>986</v>
      </c>
      <c r="C51" s="536" t="s">
        <v>987</v>
      </c>
      <c r="D51" s="537" t="s">
        <v>78</v>
      </c>
      <c r="G51" s="34" t="s">
        <v>986</v>
      </c>
      <c r="H51" s="34" t="s">
        <v>987</v>
      </c>
      <c r="I51" s="34" t="s">
        <v>1024</v>
      </c>
      <c r="N51" s="34" t="s">
        <v>986</v>
      </c>
      <c r="O51" s="34" t="s">
        <v>987</v>
      </c>
      <c r="P51" s="34" t="s">
        <v>1024</v>
      </c>
    </row>
    <row r="52" spans="2:16" ht="15.75" thickBot="1" x14ac:dyDescent="0.3">
      <c r="B52" s="171">
        <v>1</v>
      </c>
      <c r="C52" s="39" t="s">
        <v>989</v>
      </c>
      <c r="D52" s="557">
        <v>0.75</v>
      </c>
      <c r="F52" s="34"/>
      <c r="G52" s="568">
        <v>2</v>
      </c>
      <c r="H52" s="569" t="s">
        <v>941</v>
      </c>
      <c r="I52" s="570" t="s">
        <v>941</v>
      </c>
      <c r="N52" s="568">
        <v>2</v>
      </c>
      <c r="O52" s="569" t="str">
        <f>VLOOKUP(N52,$B$52:$D$61,2,FALSE)</f>
        <v>Semmel</v>
      </c>
      <c r="P52" s="570">
        <f>VLOOKUP(N52,$B$52:$D$61,3,FALSE)</f>
        <v>0.4</v>
      </c>
    </row>
    <row r="53" spans="2:16" ht="15.75" thickBot="1" x14ac:dyDescent="0.3">
      <c r="B53" s="171">
        <v>2</v>
      </c>
      <c r="C53" s="39" t="s">
        <v>990</v>
      </c>
      <c r="D53" s="557">
        <v>0.4</v>
      </c>
      <c r="G53" s="568">
        <v>4</v>
      </c>
      <c r="H53" s="571" t="s">
        <v>941</v>
      </c>
      <c r="I53" s="572" t="s">
        <v>941</v>
      </c>
      <c r="N53" s="568">
        <v>4</v>
      </c>
      <c r="O53" s="571" t="str">
        <f>VLOOKUP(N53,$B$52:$D$61,2,FALSE)</f>
        <v>Karotte (1 kg)</v>
      </c>
      <c r="P53" s="572">
        <f>VLOOKUP(N53,$B$52:$D$61,3,FALSE)</f>
        <v>3.5</v>
      </c>
    </row>
    <row r="54" spans="2:16" ht="15.75" thickBot="1" x14ac:dyDescent="0.3">
      <c r="B54" s="171">
        <v>3</v>
      </c>
      <c r="C54" s="39" t="s">
        <v>991</v>
      </c>
      <c r="D54" s="557">
        <v>1.25</v>
      </c>
      <c r="F54" s="73"/>
      <c r="G54" s="568">
        <v>8</v>
      </c>
      <c r="H54" s="573" t="s">
        <v>941</v>
      </c>
      <c r="I54" s="574" t="s">
        <v>941</v>
      </c>
      <c r="N54" s="568">
        <v>8</v>
      </c>
      <c r="O54" s="573" t="str">
        <f>VLOOKUP(N54,$B$52:$D$61,2,FALSE)</f>
        <v>Kopfsalat</v>
      </c>
      <c r="P54" s="574">
        <f>VLOOKUP(N54,$B$52:$D$61,3,FALSE)</f>
        <v>0.85</v>
      </c>
    </row>
    <row r="55" spans="2:16" ht="15.75" thickBot="1" x14ac:dyDescent="0.3">
      <c r="B55" s="171">
        <v>4</v>
      </c>
      <c r="C55" s="39" t="s">
        <v>996</v>
      </c>
      <c r="D55" s="557">
        <v>3.5</v>
      </c>
      <c r="F55" s="73"/>
    </row>
    <row r="56" spans="2:16" ht="15.75" thickBot="1" x14ac:dyDescent="0.3">
      <c r="B56" s="171">
        <v>5</v>
      </c>
      <c r="C56" s="39" t="s">
        <v>992</v>
      </c>
      <c r="D56" s="557">
        <v>1.1499999999999999</v>
      </c>
      <c r="F56" s="73"/>
      <c r="G56" s="560"/>
      <c r="H56" s="64" t="s">
        <v>1285</v>
      </c>
    </row>
    <row r="57" spans="2:16" ht="15.75" thickBot="1" x14ac:dyDescent="0.3">
      <c r="B57" s="171">
        <v>6</v>
      </c>
      <c r="C57" s="39" t="s">
        <v>997</v>
      </c>
      <c r="D57" s="557">
        <v>0.6</v>
      </c>
      <c r="G57" s="600" t="s">
        <v>941</v>
      </c>
      <c r="H57" s="64" t="s">
        <v>1228</v>
      </c>
    </row>
    <row r="58" spans="2:16" x14ac:dyDescent="0.25">
      <c r="B58" s="171">
        <v>7</v>
      </c>
      <c r="C58" s="39" t="s">
        <v>998</v>
      </c>
      <c r="D58" s="557">
        <v>0.5</v>
      </c>
    </row>
    <row r="59" spans="2:16" x14ac:dyDescent="0.25">
      <c r="B59" s="171">
        <v>8</v>
      </c>
      <c r="C59" s="39" t="s">
        <v>993</v>
      </c>
      <c r="D59" s="557">
        <v>0.85</v>
      </c>
    </row>
    <row r="60" spans="2:16" x14ac:dyDescent="0.25">
      <c r="B60" s="171">
        <v>9</v>
      </c>
      <c r="C60" s="39" t="s">
        <v>994</v>
      </c>
      <c r="D60" s="557">
        <v>1.99</v>
      </c>
    </row>
    <row r="61" spans="2:16" ht="15.75" thickBot="1" x14ac:dyDescent="0.3">
      <c r="B61" s="179">
        <v>10</v>
      </c>
      <c r="C61" s="180" t="s">
        <v>995</v>
      </c>
      <c r="D61" s="558">
        <v>1.1000000000000001</v>
      </c>
    </row>
    <row r="63" spans="2:16" ht="15.75" x14ac:dyDescent="0.25">
      <c r="B63" s="144" t="s">
        <v>1055</v>
      </c>
      <c r="G63" s="10" t="s">
        <v>1229</v>
      </c>
      <c r="N63" s="10" t="s">
        <v>1076</v>
      </c>
    </row>
    <row r="65" spans="2:18" x14ac:dyDescent="0.25">
      <c r="B65" s="643" t="s">
        <v>1042</v>
      </c>
      <c r="C65" s="643"/>
      <c r="D65" s="643"/>
      <c r="G65" s="643" t="s">
        <v>1043</v>
      </c>
      <c r="H65" s="643"/>
      <c r="I65" s="643"/>
      <c r="J65" s="643"/>
      <c r="K65" s="643"/>
      <c r="N65" s="643" t="s">
        <v>1043</v>
      </c>
      <c r="O65" s="643"/>
      <c r="P65" s="643"/>
      <c r="Q65" s="643"/>
      <c r="R65" s="643"/>
    </row>
    <row r="66" spans="2:18" x14ac:dyDescent="0.25">
      <c r="B66" s="562" t="s">
        <v>986</v>
      </c>
      <c r="C66" s="562" t="s">
        <v>85</v>
      </c>
      <c r="D66" s="562" t="s">
        <v>1044</v>
      </c>
      <c r="G66" s="576" t="s">
        <v>986</v>
      </c>
      <c r="H66" s="576" t="s">
        <v>85</v>
      </c>
      <c r="I66" s="576" t="s">
        <v>469</v>
      </c>
      <c r="J66" s="576" t="s">
        <v>1056</v>
      </c>
      <c r="K66" s="576" t="s">
        <v>1057</v>
      </c>
      <c r="N66" s="576" t="s">
        <v>986</v>
      </c>
      <c r="O66" s="576" t="s">
        <v>85</v>
      </c>
      <c r="P66" s="576" t="s">
        <v>469</v>
      </c>
      <c r="Q66" s="576" t="s">
        <v>1056</v>
      </c>
      <c r="R66" s="576" t="s">
        <v>1057</v>
      </c>
    </row>
    <row r="67" spans="2:18" x14ac:dyDescent="0.25">
      <c r="B67" s="553">
        <v>1001</v>
      </c>
      <c r="C67" s="551" t="s">
        <v>1045</v>
      </c>
      <c r="D67" s="554">
        <v>1</v>
      </c>
      <c r="G67" s="577">
        <v>1002</v>
      </c>
      <c r="H67" s="578" t="s">
        <v>941</v>
      </c>
      <c r="I67" s="577">
        <v>4</v>
      </c>
      <c r="J67" s="579" t="s">
        <v>941</v>
      </c>
      <c r="K67" s="580" t="s">
        <v>941</v>
      </c>
      <c r="N67" s="577">
        <v>1002</v>
      </c>
      <c r="O67" s="578" t="str">
        <f>VLOOKUP(N67,$B$67:$D$78,2,FALSE)</f>
        <v>Cheeseburger</v>
      </c>
      <c r="P67" s="577">
        <v>4</v>
      </c>
      <c r="Q67" s="581">
        <f>VLOOKUP(N67,$B$67:$D$78,3,FALSE)</f>
        <v>1.25</v>
      </c>
      <c r="R67" s="581">
        <f>P67*Q67</f>
        <v>5</v>
      </c>
    </row>
    <row r="68" spans="2:18" x14ac:dyDescent="0.25">
      <c r="B68" s="553">
        <v>1002</v>
      </c>
      <c r="C68" s="551" t="s">
        <v>1046</v>
      </c>
      <c r="D68" s="554">
        <v>1.25</v>
      </c>
      <c r="G68" s="577"/>
      <c r="H68" s="578" t="s">
        <v>941</v>
      </c>
      <c r="I68" s="577"/>
      <c r="J68" s="579" t="s">
        <v>941</v>
      </c>
      <c r="K68" s="580" t="s">
        <v>941</v>
      </c>
      <c r="N68" s="577">
        <v>1006</v>
      </c>
      <c r="O68" s="578" t="str">
        <f t="shared" ref="O68:O70" si="1">VLOOKUP(N68,$B$67:$D$78,2,FALSE)</f>
        <v>Pommes klein</v>
      </c>
      <c r="P68" s="577">
        <v>3</v>
      </c>
      <c r="Q68" s="581">
        <f t="shared" ref="Q68:Q70" si="2">VLOOKUP(N68,$B$67:$D$78,3,FALSE)</f>
        <v>1.25</v>
      </c>
      <c r="R68" s="581">
        <f t="shared" ref="R68:R70" si="3">P68*Q68</f>
        <v>3.75</v>
      </c>
    </row>
    <row r="69" spans="2:18" x14ac:dyDescent="0.25">
      <c r="B69" s="553">
        <v>1003</v>
      </c>
      <c r="C69" s="551" t="s">
        <v>1047</v>
      </c>
      <c r="D69" s="554">
        <v>2.4500000000000002</v>
      </c>
      <c r="G69" s="577"/>
      <c r="H69" s="578" t="s">
        <v>941</v>
      </c>
      <c r="I69" s="577"/>
      <c r="J69" s="579" t="s">
        <v>941</v>
      </c>
      <c r="K69" s="580" t="s">
        <v>941</v>
      </c>
      <c r="N69" s="577">
        <v>1011</v>
      </c>
      <c r="O69" s="578" t="str">
        <f t="shared" si="1"/>
        <v>Cafe</v>
      </c>
      <c r="P69" s="577">
        <v>2</v>
      </c>
      <c r="Q69" s="581">
        <f t="shared" si="2"/>
        <v>1.5</v>
      </c>
      <c r="R69" s="581">
        <f t="shared" si="3"/>
        <v>3</v>
      </c>
    </row>
    <row r="70" spans="2:18" x14ac:dyDescent="0.25">
      <c r="B70" s="553">
        <v>1004</v>
      </c>
      <c r="C70" s="551" t="s">
        <v>1048</v>
      </c>
      <c r="D70" s="554">
        <v>1.45</v>
      </c>
      <c r="G70" s="577"/>
      <c r="H70" s="578" t="s">
        <v>941</v>
      </c>
      <c r="I70" s="577"/>
      <c r="J70" s="579" t="s">
        <v>941</v>
      </c>
      <c r="K70" s="578" t="s">
        <v>941</v>
      </c>
      <c r="N70" s="577">
        <v>1009</v>
      </c>
      <c r="O70" s="578" t="str">
        <f t="shared" si="1"/>
        <v>Cola</v>
      </c>
      <c r="P70" s="577">
        <v>5</v>
      </c>
      <c r="Q70" s="581">
        <f t="shared" si="2"/>
        <v>1.2</v>
      </c>
      <c r="R70" s="581">
        <f t="shared" si="3"/>
        <v>6</v>
      </c>
    </row>
    <row r="71" spans="2:18" ht="16.5" thickBot="1" x14ac:dyDescent="0.3">
      <c r="B71" s="553">
        <v>1005</v>
      </c>
      <c r="C71" s="551" t="s">
        <v>1078</v>
      </c>
      <c r="D71" s="554">
        <v>1.95</v>
      </c>
      <c r="G71" s="55"/>
      <c r="H71" s="55"/>
      <c r="I71" s="55"/>
      <c r="J71" s="582" t="s">
        <v>45</v>
      </c>
      <c r="K71" s="583" t="s">
        <v>941</v>
      </c>
      <c r="N71" s="55"/>
      <c r="O71" s="55"/>
      <c r="P71" s="55"/>
      <c r="Q71" s="582" t="s">
        <v>45</v>
      </c>
      <c r="R71" s="584">
        <f>SUM(R67:R70)</f>
        <v>17.75</v>
      </c>
    </row>
    <row r="72" spans="2:18" ht="15.75" thickBot="1" x14ac:dyDescent="0.3">
      <c r="B72" s="553">
        <v>1006</v>
      </c>
      <c r="C72" s="551" t="s">
        <v>1079</v>
      </c>
      <c r="D72" s="554">
        <v>1.25</v>
      </c>
      <c r="G72" s="555"/>
      <c r="H72" s="64" t="s">
        <v>1285</v>
      </c>
      <c r="N72" s="555"/>
      <c r="O72" s="556" t="s">
        <v>962</v>
      </c>
    </row>
    <row r="73" spans="2:18" ht="15.75" thickBot="1" x14ac:dyDescent="0.3">
      <c r="B73" s="553">
        <v>1007</v>
      </c>
      <c r="C73" s="551" t="s">
        <v>1049</v>
      </c>
      <c r="D73" s="554">
        <v>1.35</v>
      </c>
      <c r="G73" s="600" t="s">
        <v>941</v>
      </c>
      <c r="H73" s="64" t="s">
        <v>1228</v>
      </c>
    </row>
    <row r="74" spans="2:18" x14ac:dyDescent="0.25">
      <c r="B74" s="553">
        <v>1008</v>
      </c>
      <c r="C74" s="551" t="s">
        <v>1050</v>
      </c>
      <c r="D74" s="554">
        <v>1.1000000000000001</v>
      </c>
    </row>
    <row r="75" spans="2:18" x14ac:dyDescent="0.25">
      <c r="B75" s="553">
        <v>1009</v>
      </c>
      <c r="C75" s="551" t="s">
        <v>1051</v>
      </c>
      <c r="D75" s="554">
        <v>1.2</v>
      </c>
    </row>
    <row r="76" spans="2:18" x14ac:dyDescent="0.25">
      <c r="B76" s="553">
        <v>1010</v>
      </c>
      <c r="C76" s="551" t="s">
        <v>1052</v>
      </c>
      <c r="D76" s="554">
        <v>1</v>
      </c>
    </row>
    <row r="77" spans="2:18" x14ac:dyDescent="0.25">
      <c r="B77" s="553">
        <v>1011</v>
      </c>
      <c r="C77" s="551" t="s">
        <v>1053</v>
      </c>
      <c r="D77" s="554">
        <v>1.5</v>
      </c>
    </row>
    <row r="78" spans="2:18" x14ac:dyDescent="0.25">
      <c r="B78" s="553">
        <v>1012</v>
      </c>
      <c r="C78" s="551" t="s">
        <v>1054</v>
      </c>
      <c r="D78" s="554">
        <v>0.25</v>
      </c>
    </row>
    <row r="80" spans="2:18" ht="15.75" thickBot="1" x14ac:dyDescent="0.3"/>
    <row r="81" spans="2:18" ht="16.5" thickBot="1" x14ac:dyDescent="0.3">
      <c r="B81" s="144" t="s">
        <v>1065</v>
      </c>
      <c r="D81" s="600" t="s">
        <v>941</v>
      </c>
      <c r="E81" s="64" t="s">
        <v>1228</v>
      </c>
      <c r="N81" s="10" t="s">
        <v>1076</v>
      </c>
    </row>
    <row r="82" spans="2:18" ht="18.75" x14ac:dyDescent="0.25">
      <c r="D82" s="10"/>
      <c r="H82" s="563" t="s">
        <v>464</v>
      </c>
      <c r="I82" s="564"/>
      <c r="J82" s="565"/>
    </row>
    <row r="83" spans="2:18" ht="32.25" customHeight="1" x14ac:dyDescent="0.25">
      <c r="B83" s="561" t="s">
        <v>1066</v>
      </c>
      <c r="C83" s="561" t="s">
        <v>1080</v>
      </c>
      <c r="D83" s="561" t="s">
        <v>1067</v>
      </c>
      <c r="E83" s="561" t="s">
        <v>1059</v>
      </c>
      <c r="F83" s="559" t="s">
        <v>53</v>
      </c>
      <c r="H83" s="561" t="s">
        <v>1066</v>
      </c>
      <c r="I83" s="561" t="s">
        <v>1075</v>
      </c>
      <c r="J83" s="561" t="s">
        <v>1074</v>
      </c>
      <c r="N83" s="561" t="s">
        <v>1066</v>
      </c>
      <c r="O83" s="561" t="s">
        <v>1058</v>
      </c>
      <c r="P83" s="561" t="s">
        <v>1067</v>
      </c>
      <c r="Q83" s="561" t="s">
        <v>1059</v>
      </c>
      <c r="R83" s="559" t="s">
        <v>53</v>
      </c>
    </row>
    <row r="84" spans="2:18" x14ac:dyDescent="0.25">
      <c r="B84" s="552">
        <v>50000</v>
      </c>
      <c r="C84" s="587" t="s">
        <v>941</v>
      </c>
      <c r="D84" s="587" t="s">
        <v>941</v>
      </c>
      <c r="E84" s="587" t="s">
        <v>941</v>
      </c>
      <c r="F84" s="553" t="s">
        <v>1068</v>
      </c>
      <c r="N84" s="552">
        <v>50000</v>
      </c>
      <c r="O84" s="585">
        <f t="shared" ref="O84:O90" si="4">VLOOKUP(N84,$H$85:$J$95,2,TRUE)</f>
        <v>0.03</v>
      </c>
      <c r="P84" s="575">
        <f>N84*O84</f>
        <v>1500</v>
      </c>
      <c r="Q84" s="585" t="str">
        <f t="shared" ref="Q84:Q90" si="5">VLOOKUP(N84,$H$85:$J$95,3,TRUE)</f>
        <v>kein Gutschein</v>
      </c>
      <c r="R84" s="553" t="s">
        <v>1068</v>
      </c>
    </row>
    <row r="85" spans="2:18" x14ac:dyDescent="0.25">
      <c r="B85" s="552">
        <v>350000</v>
      </c>
      <c r="C85" s="587" t="s">
        <v>941</v>
      </c>
      <c r="D85" s="587" t="s">
        <v>941</v>
      </c>
      <c r="E85" s="587" t="s">
        <v>941</v>
      </c>
      <c r="F85" s="553" t="s">
        <v>1069</v>
      </c>
      <c r="H85" s="552">
        <v>50000</v>
      </c>
      <c r="I85" s="566">
        <v>0.03</v>
      </c>
      <c r="J85" s="553" t="s">
        <v>1061</v>
      </c>
      <c r="N85" s="552">
        <v>350000</v>
      </c>
      <c r="O85" s="585">
        <f t="shared" si="4"/>
        <v>0.15</v>
      </c>
      <c r="P85" s="575">
        <f t="shared" ref="P85:P90" si="6">N85*O85</f>
        <v>52500</v>
      </c>
      <c r="Q85" s="586">
        <f t="shared" si="5"/>
        <v>70</v>
      </c>
      <c r="R85" s="553" t="s">
        <v>1069</v>
      </c>
    </row>
    <row r="86" spans="2:18" x14ac:dyDescent="0.25">
      <c r="B86" s="552">
        <v>300000</v>
      </c>
      <c r="C86" s="587" t="s">
        <v>941</v>
      </c>
      <c r="D86" s="587" t="s">
        <v>941</v>
      </c>
      <c r="E86" s="587" t="s">
        <v>941</v>
      </c>
      <c r="F86" s="553" t="s">
        <v>1060</v>
      </c>
      <c r="H86" s="552">
        <v>100000</v>
      </c>
      <c r="I86" s="566">
        <v>0.05</v>
      </c>
      <c r="J86" s="588">
        <v>20</v>
      </c>
      <c r="N86" s="552">
        <v>300000</v>
      </c>
      <c r="O86" s="585">
        <f t="shared" si="4"/>
        <v>0.13</v>
      </c>
      <c r="P86" s="575">
        <f t="shared" si="6"/>
        <v>39000</v>
      </c>
      <c r="Q86" s="586">
        <f t="shared" si="5"/>
        <v>70</v>
      </c>
      <c r="R86" s="553" t="s">
        <v>1060</v>
      </c>
    </row>
    <row r="87" spans="2:18" x14ac:dyDescent="0.25">
      <c r="B87" s="552">
        <v>150000</v>
      </c>
      <c r="C87" s="587" t="s">
        <v>941</v>
      </c>
      <c r="D87" s="587" t="s">
        <v>941</v>
      </c>
      <c r="E87" s="587" t="s">
        <v>941</v>
      </c>
      <c r="F87" s="553" t="s">
        <v>1070</v>
      </c>
      <c r="H87" s="552">
        <v>150000</v>
      </c>
      <c r="I87" s="566">
        <v>7.0000000000000007E-2</v>
      </c>
      <c r="J87" s="588">
        <v>20</v>
      </c>
      <c r="N87" s="552">
        <v>150000</v>
      </c>
      <c r="O87" s="585">
        <f t="shared" si="4"/>
        <v>7.0000000000000007E-2</v>
      </c>
      <c r="P87" s="575">
        <f t="shared" si="6"/>
        <v>10500.000000000002</v>
      </c>
      <c r="Q87" s="586">
        <f t="shared" si="5"/>
        <v>20</v>
      </c>
      <c r="R87" s="553" t="s">
        <v>1070</v>
      </c>
    </row>
    <row r="88" spans="2:18" x14ac:dyDescent="0.25">
      <c r="B88" s="552">
        <v>430000</v>
      </c>
      <c r="C88" s="587" t="s">
        <v>941</v>
      </c>
      <c r="D88" s="587" t="s">
        <v>941</v>
      </c>
      <c r="E88" s="587" t="s">
        <v>941</v>
      </c>
      <c r="F88" s="553" t="s">
        <v>1071</v>
      </c>
      <c r="H88" s="552">
        <v>200000</v>
      </c>
      <c r="I88" s="566">
        <v>0.09</v>
      </c>
      <c r="J88" s="588">
        <v>50</v>
      </c>
      <c r="N88" s="552">
        <v>430000</v>
      </c>
      <c r="O88" s="585">
        <f t="shared" si="4"/>
        <v>0.17</v>
      </c>
      <c r="P88" s="575">
        <f t="shared" si="6"/>
        <v>73100</v>
      </c>
      <c r="Q88" s="586">
        <f t="shared" si="5"/>
        <v>100</v>
      </c>
      <c r="R88" s="553" t="s">
        <v>1071</v>
      </c>
    </row>
    <row r="89" spans="2:18" x14ac:dyDescent="0.25">
      <c r="B89" s="552">
        <v>560000</v>
      </c>
      <c r="C89" s="587" t="s">
        <v>941</v>
      </c>
      <c r="D89" s="587" t="s">
        <v>941</v>
      </c>
      <c r="E89" s="587" t="s">
        <v>941</v>
      </c>
      <c r="F89" s="553" t="s">
        <v>1072</v>
      </c>
      <c r="H89" s="552">
        <v>250000</v>
      </c>
      <c r="I89" s="566">
        <v>0.11</v>
      </c>
      <c r="J89" s="588">
        <v>50</v>
      </c>
      <c r="N89" s="552">
        <v>560000</v>
      </c>
      <c r="O89" s="585">
        <f t="shared" si="4"/>
        <v>0.23</v>
      </c>
      <c r="P89" s="575">
        <f t="shared" si="6"/>
        <v>128800</v>
      </c>
      <c r="Q89" s="586">
        <f t="shared" si="5"/>
        <v>250</v>
      </c>
      <c r="R89" s="553" t="s">
        <v>1072</v>
      </c>
    </row>
    <row r="90" spans="2:18" x14ac:dyDescent="0.25">
      <c r="B90" s="552">
        <v>470000</v>
      </c>
      <c r="C90" s="587" t="s">
        <v>941</v>
      </c>
      <c r="D90" s="587" t="s">
        <v>941</v>
      </c>
      <c r="E90" s="587" t="s">
        <v>941</v>
      </c>
      <c r="F90" s="553" t="s">
        <v>1073</v>
      </c>
      <c r="H90" s="552">
        <v>300000</v>
      </c>
      <c r="I90" s="566">
        <v>0.13</v>
      </c>
      <c r="J90" s="588">
        <v>70</v>
      </c>
      <c r="N90" s="552">
        <v>470000</v>
      </c>
      <c r="O90" s="585">
        <f t="shared" si="4"/>
        <v>0.19</v>
      </c>
      <c r="P90" s="575">
        <f t="shared" si="6"/>
        <v>89300</v>
      </c>
      <c r="Q90" s="586">
        <f t="shared" si="5"/>
        <v>100</v>
      </c>
      <c r="R90" s="553" t="s">
        <v>1073</v>
      </c>
    </row>
    <row r="91" spans="2:18" x14ac:dyDescent="0.25">
      <c r="H91" s="552">
        <v>350000</v>
      </c>
      <c r="I91" s="566">
        <v>0.15</v>
      </c>
      <c r="J91" s="588">
        <v>70</v>
      </c>
    </row>
    <row r="92" spans="2:18" x14ac:dyDescent="0.25">
      <c r="H92" s="552">
        <v>400000</v>
      </c>
      <c r="I92" s="566">
        <v>0.17</v>
      </c>
      <c r="J92" s="588">
        <v>100</v>
      </c>
    </row>
    <row r="93" spans="2:18" ht="15.75" x14ac:dyDescent="0.25">
      <c r="B93" s="521"/>
      <c r="C93" s="559" t="s">
        <v>1062</v>
      </c>
      <c r="D93" s="559" t="s">
        <v>53</v>
      </c>
      <c r="H93" s="552">
        <v>450000</v>
      </c>
      <c r="I93" s="566">
        <v>0.19</v>
      </c>
      <c r="J93" s="588">
        <v>100</v>
      </c>
      <c r="N93" s="521"/>
      <c r="O93" s="559" t="s">
        <v>1062</v>
      </c>
      <c r="P93" s="559" t="s">
        <v>53</v>
      </c>
    </row>
    <row r="94" spans="2:18" x14ac:dyDescent="0.25">
      <c r="B94" s="567" t="s">
        <v>1063</v>
      </c>
      <c r="C94" s="587" t="s">
        <v>941</v>
      </c>
      <c r="D94" s="587" t="s">
        <v>941</v>
      </c>
      <c r="H94" s="552">
        <v>500000</v>
      </c>
      <c r="I94" s="566">
        <v>0.21</v>
      </c>
      <c r="J94" s="588">
        <v>200</v>
      </c>
      <c r="N94" s="567" t="s">
        <v>1063</v>
      </c>
      <c r="O94" s="575">
        <f>MAX(N84:N90)</f>
        <v>560000</v>
      </c>
      <c r="P94" s="587" t="str">
        <f>VLOOKUP(O94,$N$84:$R$90,5,FALSE)</f>
        <v>Mayr</v>
      </c>
    </row>
    <row r="95" spans="2:18" x14ac:dyDescent="0.25">
      <c r="B95" s="567" t="s">
        <v>1064</v>
      </c>
      <c r="C95" s="587" t="s">
        <v>941</v>
      </c>
      <c r="D95" s="587" t="s">
        <v>941</v>
      </c>
      <c r="H95" s="552">
        <v>550000</v>
      </c>
      <c r="I95" s="566">
        <v>0.23</v>
      </c>
      <c r="J95" s="588">
        <v>250</v>
      </c>
      <c r="N95" s="567" t="s">
        <v>1064</v>
      </c>
      <c r="O95" s="575">
        <f>MIN(N84:N90)</f>
        <v>50000</v>
      </c>
      <c r="P95" s="587" t="str">
        <f>VLOOKUP(O95,$N$84:$R$90,5,FALSE)</f>
        <v>Hinz</v>
      </c>
    </row>
  </sheetData>
  <mergeCells count="3">
    <mergeCell ref="B65:D65"/>
    <mergeCell ref="G65:K65"/>
    <mergeCell ref="N65:R65"/>
  </mergeCells>
  <pageMargins left="0.7" right="0.7" top="0.78740157499999996" bottom="0.78740157499999996"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F38"/>
  <sheetViews>
    <sheetView workbookViewId="0"/>
  </sheetViews>
  <sheetFormatPr baseColWidth="10" defaultColWidth="11.42578125" defaultRowHeight="15" x14ac:dyDescent="0.25"/>
  <cols>
    <col min="1" max="1" width="13.7109375" customWidth="1"/>
    <col min="2" max="4" width="18.7109375" customWidth="1"/>
    <col min="5" max="5" width="15.5703125" customWidth="1"/>
    <col min="6" max="6" width="19.85546875" customWidth="1"/>
  </cols>
  <sheetData>
    <row r="1" spans="1:6" ht="21" x14ac:dyDescent="0.35">
      <c r="A1" s="162" t="s">
        <v>429</v>
      </c>
      <c r="C1" s="618" t="s">
        <v>1301</v>
      </c>
      <c r="D1" s="615"/>
    </row>
    <row r="3" spans="1:6" x14ac:dyDescent="0.25">
      <c r="A3" s="300" t="s">
        <v>846</v>
      </c>
    </row>
    <row r="4" spans="1:6" ht="15.75" x14ac:dyDescent="0.25">
      <c r="A4" s="204"/>
    </row>
    <row r="5" spans="1:6" ht="35.25" customHeight="1" x14ac:dyDescent="0.25">
      <c r="A5" s="90" t="s">
        <v>852</v>
      </c>
    </row>
    <row r="6" spans="1:6" ht="15.75" x14ac:dyDescent="0.25">
      <c r="A6" s="204"/>
      <c r="B6" s="87" t="s">
        <v>516</v>
      </c>
      <c r="C6" s="59">
        <v>20000</v>
      </c>
    </row>
    <row r="7" spans="1:6" ht="15.75" x14ac:dyDescent="0.25">
      <c r="A7" s="204"/>
      <c r="B7" s="87" t="s">
        <v>514</v>
      </c>
      <c r="C7" s="89">
        <v>35</v>
      </c>
    </row>
    <row r="8" spans="1:6" ht="15.75" x14ac:dyDescent="0.25">
      <c r="A8" s="204"/>
      <c r="B8" s="87" t="s">
        <v>515</v>
      </c>
      <c r="C8" s="191">
        <v>6.5000000000000002E-2</v>
      </c>
      <c r="D8" s="452" t="s">
        <v>853</v>
      </c>
      <c r="E8" s="450"/>
    </row>
    <row r="9" spans="1:6" ht="15.75" x14ac:dyDescent="0.25">
      <c r="A9" s="204"/>
      <c r="B9" s="87" t="s">
        <v>517</v>
      </c>
      <c r="C9" s="88">
        <v>6.4</v>
      </c>
      <c r="D9" s="450">
        <v>0</v>
      </c>
      <c r="E9" s="451">
        <f>C9</f>
        <v>6.4</v>
      </c>
    </row>
    <row r="10" spans="1:6" ht="15.75" x14ac:dyDescent="0.25">
      <c r="A10" s="204"/>
      <c r="B10" s="87" t="s">
        <v>518</v>
      </c>
      <c r="C10" s="89">
        <v>5.9</v>
      </c>
      <c r="D10" s="450">
        <v>5000</v>
      </c>
      <c r="E10" s="451">
        <f>C10</f>
        <v>5.9</v>
      </c>
    </row>
    <row r="11" spans="1:6" ht="15.75" x14ac:dyDescent="0.25">
      <c r="A11" s="204"/>
      <c r="B11" s="87" t="s">
        <v>519</v>
      </c>
      <c r="C11" s="89">
        <v>4.8</v>
      </c>
      <c r="D11" s="450">
        <v>10000</v>
      </c>
      <c r="E11" s="451">
        <f>C11</f>
        <v>4.8</v>
      </c>
    </row>
    <row r="12" spans="1:6" x14ac:dyDescent="0.25">
      <c r="B12" s="87" t="s">
        <v>847</v>
      </c>
    </row>
    <row r="13" spans="1:6" ht="25.5" x14ac:dyDescent="0.25">
      <c r="A13" s="676" t="s">
        <v>430</v>
      </c>
      <c r="B13" s="447" t="s">
        <v>431</v>
      </c>
      <c r="C13" s="447" t="s">
        <v>432</v>
      </c>
      <c r="D13" s="447" t="s">
        <v>848</v>
      </c>
      <c r="E13" s="447" t="s">
        <v>849</v>
      </c>
      <c r="F13" s="447" t="s">
        <v>850</v>
      </c>
    </row>
    <row r="14" spans="1:6" x14ac:dyDescent="0.25">
      <c r="A14" s="676"/>
      <c r="B14" s="448" t="s">
        <v>433</v>
      </c>
      <c r="C14" s="448" t="s">
        <v>434</v>
      </c>
      <c r="D14" s="448" t="s">
        <v>434</v>
      </c>
      <c r="E14" s="448" t="s">
        <v>434</v>
      </c>
      <c r="F14" s="448" t="s">
        <v>435</v>
      </c>
    </row>
    <row r="15" spans="1:6" x14ac:dyDescent="0.25">
      <c r="A15" s="215">
        <v>1</v>
      </c>
      <c r="B15" s="216">
        <f>$C$6/A15</f>
        <v>20000</v>
      </c>
      <c r="C15" s="217"/>
      <c r="D15" s="217"/>
      <c r="E15" s="217"/>
      <c r="F15" s="217"/>
    </row>
    <row r="16" spans="1:6" x14ac:dyDescent="0.25">
      <c r="A16" s="215">
        <v>2</v>
      </c>
      <c r="B16" s="216">
        <f t="shared" ref="B16:B29" si="0">$C$6/A16</f>
        <v>10000</v>
      </c>
      <c r="C16" s="217"/>
      <c r="D16" s="217"/>
      <c r="E16" s="217"/>
      <c r="F16" s="217"/>
    </row>
    <row r="17" spans="1:6" x14ac:dyDescent="0.25">
      <c r="A17" s="215">
        <v>3</v>
      </c>
      <c r="B17" s="216">
        <f t="shared" si="0"/>
        <v>6666.666666666667</v>
      </c>
      <c r="C17" s="217"/>
      <c r="D17" s="217"/>
      <c r="E17" s="217"/>
      <c r="F17" s="217"/>
    </row>
    <row r="18" spans="1:6" x14ac:dyDescent="0.25">
      <c r="A18" s="215">
        <v>4</v>
      </c>
      <c r="B18" s="216">
        <f t="shared" si="0"/>
        <v>5000</v>
      </c>
      <c r="C18" s="217"/>
      <c r="D18" s="217"/>
      <c r="E18" s="217"/>
      <c r="F18" s="217"/>
    </row>
    <row r="19" spans="1:6" x14ac:dyDescent="0.25">
      <c r="A19" s="215">
        <v>5</v>
      </c>
      <c r="B19" s="216">
        <f t="shared" si="0"/>
        <v>4000</v>
      </c>
      <c r="C19" s="217"/>
      <c r="D19" s="217"/>
      <c r="E19" s="217"/>
      <c r="F19" s="217"/>
    </row>
    <row r="20" spans="1:6" x14ac:dyDescent="0.25">
      <c r="A20" s="215">
        <v>6</v>
      </c>
      <c r="B20" s="216">
        <f t="shared" si="0"/>
        <v>3333.3333333333335</v>
      </c>
      <c r="C20" s="217"/>
      <c r="D20" s="217"/>
      <c r="E20" s="217"/>
      <c r="F20" s="217"/>
    </row>
    <row r="21" spans="1:6" x14ac:dyDescent="0.25">
      <c r="A21" s="215">
        <v>7</v>
      </c>
      <c r="B21" s="216">
        <f t="shared" si="0"/>
        <v>2857.1428571428573</v>
      </c>
      <c r="C21" s="217"/>
      <c r="D21" s="217"/>
      <c r="E21" s="217"/>
      <c r="F21" s="217"/>
    </row>
    <row r="22" spans="1:6" x14ac:dyDescent="0.25">
      <c r="A22" s="215">
        <v>8</v>
      </c>
      <c r="B22" s="216">
        <f t="shared" si="0"/>
        <v>2500</v>
      </c>
      <c r="C22" s="217"/>
      <c r="D22" s="217"/>
      <c r="E22" s="217"/>
      <c r="F22" s="217"/>
    </row>
    <row r="23" spans="1:6" x14ac:dyDescent="0.25">
      <c r="A23" s="215">
        <v>9</v>
      </c>
      <c r="B23" s="216">
        <f t="shared" si="0"/>
        <v>2222.2222222222222</v>
      </c>
      <c r="C23" s="217"/>
      <c r="D23" s="217"/>
      <c r="E23" s="217"/>
      <c r="F23" s="217"/>
    </row>
    <row r="24" spans="1:6" x14ac:dyDescent="0.25">
      <c r="A24" s="215">
        <v>10</v>
      </c>
      <c r="B24" s="216">
        <f t="shared" si="0"/>
        <v>2000</v>
      </c>
      <c r="C24" s="217"/>
      <c r="D24" s="217"/>
      <c r="E24" s="217"/>
      <c r="F24" s="217"/>
    </row>
    <row r="25" spans="1:6" x14ac:dyDescent="0.25">
      <c r="A25" s="215">
        <v>11</v>
      </c>
      <c r="B25" s="216">
        <f t="shared" si="0"/>
        <v>1818.1818181818182</v>
      </c>
      <c r="C25" s="217"/>
      <c r="D25" s="217"/>
      <c r="E25" s="217"/>
      <c r="F25" s="217"/>
    </row>
    <row r="26" spans="1:6" x14ac:dyDescent="0.25">
      <c r="A26" s="215">
        <v>12</v>
      </c>
      <c r="B26" s="216">
        <f t="shared" si="0"/>
        <v>1666.6666666666667</v>
      </c>
      <c r="C26" s="217"/>
      <c r="D26" s="217"/>
      <c r="E26" s="217"/>
      <c r="F26" s="217"/>
    </row>
    <row r="27" spans="1:6" x14ac:dyDescent="0.25">
      <c r="A27" s="215">
        <v>13</v>
      </c>
      <c r="B27" s="216">
        <f t="shared" si="0"/>
        <v>1538.4615384615386</v>
      </c>
      <c r="C27" s="217"/>
      <c r="D27" s="217"/>
      <c r="E27" s="217"/>
      <c r="F27" s="217"/>
    </row>
    <row r="28" spans="1:6" x14ac:dyDescent="0.25">
      <c r="A28" s="215">
        <v>14</v>
      </c>
      <c r="B28" s="216">
        <f t="shared" si="0"/>
        <v>1428.5714285714287</v>
      </c>
      <c r="C28" s="217"/>
      <c r="D28" s="217"/>
      <c r="E28" s="217"/>
      <c r="F28" s="217"/>
    </row>
    <row r="29" spans="1:6" x14ac:dyDescent="0.25">
      <c r="A29" s="215">
        <v>15</v>
      </c>
      <c r="B29" s="216">
        <f t="shared" si="0"/>
        <v>1333.3333333333333</v>
      </c>
      <c r="C29" s="217"/>
      <c r="D29" s="217"/>
      <c r="E29" s="217"/>
      <c r="F29" s="217"/>
    </row>
    <row r="30" spans="1:6" ht="15.75" thickBot="1" x14ac:dyDescent="0.3">
      <c r="C30" s="141"/>
    </row>
    <row r="31" spans="1:6" ht="16.5" thickTop="1" thickBot="1" x14ac:dyDescent="0.3">
      <c r="C31" s="142"/>
    </row>
    <row r="32" spans="1:6" ht="16.5" thickTop="1" thickBot="1" x14ac:dyDescent="0.3">
      <c r="C32" s="449"/>
    </row>
    <row r="33" spans="1:6" ht="15.75" thickBot="1" x14ac:dyDescent="0.3">
      <c r="A33" s="10" t="s">
        <v>521</v>
      </c>
      <c r="D33" s="143"/>
      <c r="E33" t="s">
        <v>526</v>
      </c>
    </row>
    <row r="35" spans="1:6" x14ac:dyDescent="0.25">
      <c r="A35" s="446" t="s">
        <v>522</v>
      </c>
      <c r="B35" s="10"/>
      <c r="C35" s="10"/>
      <c r="D35" s="10"/>
      <c r="E35" s="10"/>
      <c r="F35" s="10"/>
    </row>
    <row r="36" spans="1:6" x14ac:dyDescent="0.25">
      <c r="A36" s="446" t="s">
        <v>523</v>
      </c>
      <c r="B36" s="10"/>
      <c r="C36" s="10"/>
      <c r="D36" s="10"/>
      <c r="E36" s="10"/>
      <c r="F36" s="10"/>
    </row>
    <row r="37" spans="1:6" x14ac:dyDescent="0.25">
      <c r="A37" s="446" t="s">
        <v>524</v>
      </c>
      <c r="B37" s="10"/>
      <c r="C37" s="10"/>
      <c r="D37" s="10"/>
      <c r="E37" s="10"/>
      <c r="F37" s="10"/>
    </row>
    <row r="38" spans="1:6" x14ac:dyDescent="0.25">
      <c r="A38" s="446" t="s">
        <v>525</v>
      </c>
      <c r="B38" s="10"/>
      <c r="C38" s="10"/>
      <c r="D38" s="10"/>
      <c r="E38" s="10"/>
      <c r="F38" s="10"/>
    </row>
  </sheetData>
  <mergeCells count="1">
    <mergeCell ref="A13:A14"/>
  </mergeCells>
  <conditionalFormatting sqref="A35:F38">
    <cfRule type="expression" dxfId="4" priority="1">
      <formula>$D$33="x"</formula>
    </cfRule>
  </conditionalFormatting>
  <pageMargins left="0.70866141732283472" right="0.70866141732283472" top="0.78740157480314965" bottom="0.78740157480314965" header="0.31496062992125984" footer="0.31496062992125984"/>
  <pageSetup paperSize="9" scale="79"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38"/>
  <sheetViews>
    <sheetView workbookViewId="0"/>
  </sheetViews>
  <sheetFormatPr baseColWidth="10" defaultColWidth="11.42578125" defaultRowHeight="15" x14ac:dyDescent="0.25"/>
  <cols>
    <col min="1" max="1" width="13.7109375" customWidth="1"/>
    <col min="2" max="4" width="18.7109375" customWidth="1"/>
    <col min="5" max="5" width="15.5703125" customWidth="1"/>
    <col min="6" max="6" width="19.85546875" customWidth="1"/>
  </cols>
  <sheetData>
    <row r="1" spans="1:6" ht="21" x14ac:dyDescent="0.35">
      <c r="A1" s="162" t="s">
        <v>429</v>
      </c>
      <c r="C1" s="618" t="s">
        <v>1302</v>
      </c>
      <c r="D1" s="615"/>
    </row>
    <row r="3" spans="1:6" x14ac:dyDescent="0.25">
      <c r="A3" s="300" t="s">
        <v>846</v>
      </c>
    </row>
    <row r="4" spans="1:6" ht="15.75" x14ac:dyDescent="0.25">
      <c r="A4" s="204"/>
    </row>
    <row r="5" spans="1:6" ht="35.25" customHeight="1" x14ac:dyDescent="0.25">
      <c r="A5" s="90" t="s">
        <v>852</v>
      </c>
    </row>
    <row r="6" spans="1:6" ht="15.75" x14ac:dyDescent="0.25">
      <c r="A6" s="204"/>
      <c r="B6" s="87" t="s">
        <v>516</v>
      </c>
      <c r="C6" s="59">
        <v>20000</v>
      </c>
    </row>
    <row r="7" spans="1:6" ht="15.75" x14ac:dyDescent="0.25">
      <c r="A7" s="204"/>
      <c r="B7" s="87" t="s">
        <v>514</v>
      </c>
      <c r="C7" s="89">
        <v>35</v>
      </c>
    </row>
    <row r="8" spans="1:6" ht="15.75" x14ac:dyDescent="0.25">
      <c r="A8" s="204"/>
      <c r="B8" s="87" t="s">
        <v>515</v>
      </c>
      <c r="C8" s="191">
        <v>6.5000000000000002E-2</v>
      </c>
      <c r="D8" s="452" t="s">
        <v>853</v>
      </c>
    </row>
    <row r="9" spans="1:6" ht="15.75" x14ac:dyDescent="0.25">
      <c r="A9" s="204"/>
      <c r="B9" s="87" t="s">
        <v>517</v>
      </c>
      <c r="C9" s="88">
        <v>6.4</v>
      </c>
      <c r="D9" s="450">
        <v>0</v>
      </c>
      <c r="E9" s="451">
        <f>C9</f>
        <v>6.4</v>
      </c>
    </row>
    <row r="10" spans="1:6" ht="15.75" x14ac:dyDescent="0.25">
      <c r="A10" s="204"/>
      <c r="B10" s="87" t="s">
        <v>518</v>
      </c>
      <c r="C10" s="89">
        <v>5.9</v>
      </c>
      <c r="D10" s="450">
        <v>5000</v>
      </c>
      <c r="E10" s="451">
        <f>C10</f>
        <v>5.9</v>
      </c>
    </row>
    <row r="11" spans="1:6" ht="15.75" x14ac:dyDescent="0.25">
      <c r="A11" s="204"/>
      <c r="B11" s="87" t="s">
        <v>519</v>
      </c>
      <c r="C11" s="89">
        <v>4.8</v>
      </c>
      <c r="D11" s="450">
        <v>10000</v>
      </c>
      <c r="E11" s="451">
        <f>C11</f>
        <v>4.8</v>
      </c>
    </row>
    <row r="12" spans="1:6" x14ac:dyDescent="0.25">
      <c r="B12" s="87" t="s">
        <v>847</v>
      </c>
    </row>
    <row r="13" spans="1:6" ht="25.5" x14ac:dyDescent="0.25">
      <c r="A13" s="676" t="s">
        <v>430</v>
      </c>
      <c r="B13" s="447" t="s">
        <v>431</v>
      </c>
      <c r="C13" s="447" t="s">
        <v>432</v>
      </c>
      <c r="D13" s="447" t="s">
        <v>848</v>
      </c>
      <c r="E13" s="447" t="s">
        <v>849</v>
      </c>
      <c r="F13" s="447" t="s">
        <v>850</v>
      </c>
    </row>
    <row r="14" spans="1:6" x14ac:dyDescent="0.25">
      <c r="A14" s="676"/>
      <c r="B14" s="448" t="s">
        <v>433</v>
      </c>
      <c r="C14" s="448" t="s">
        <v>434</v>
      </c>
      <c r="D14" s="448" t="s">
        <v>434</v>
      </c>
      <c r="E14" s="448" t="s">
        <v>434</v>
      </c>
      <c r="F14" s="448" t="s">
        <v>435</v>
      </c>
    </row>
    <row r="15" spans="1:6" x14ac:dyDescent="0.25">
      <c r="A15" s="215">
        <v>1</v>
      </c>
      <c r="B15" s="216">
        <f>$C$6/A15</f>
        <v>20000</v>
      </c>
      <c r="C15" s="217">
        <f>B15/2*$C$11</f>
        <v>48000</v>
      </c>
      <c r="D15" s="217">
        <f>C15*$C$8</f>
        <v>3120</v>
      </c>
      <c r="E15" s="217">
        <f>A15*$C$7</f>
        <v>35</v>
      </c>
      <c r="F15" s="217">
        <f>D15+E15</f>
        <v>3155</v>
      </c>
    </row>
    <row r="16" spans="1:6" x14ac:dyDescent="0.25">
      <c r="A16" s="215">
        <v>2</v>
      </c>
      <c r="B16" s="216">
        <f t="shared" ref="B16:B29" si="0">$C$6/A16</f>
        <v>10000</v>
      </c>
      <c r="C16" s="217">
        <f t="shared" ref="C16" si="1">B16/2*$C$11</f>
        <v>24000</v>
      </c>
      <c r="D16" s="217">
        <f t="shared" ref="D16:D29" si="2">C16*$C$8</f>
        <v>1560</v>
      </c>
      <c r="E16" s="217">
        <f t="shared" ref="E16:E29" si="3">A16*$C$7</f>
        <v>70</v>
      </c>
      <c r="F16" s="217">
        <f t="shared" ref="F16:F29" si="4">D16+E16</f>
        <v>1630</v>
      </c>
    </row>
    <row r="17" spans="1:6" x14ac:dyDescent="0.25">
      <c r="A17" s="215">
        <v>3</v>
      </c>
      <c r="B17" s="216">
        <f t="shared" si="0"/>
        <v>6666.666666666667</v>
      </c>
      <c r="C17" s="217">
        <f>B17/2*$C$10</f>
        <v>19666.666666666668</v>
      </c>
      <c r="D17" s="217">
        <f t="shared" si="2"/>
        <v>1278.3333333333335</v>
      </c>
      <c r="E17" s="217">
        <f t="shared" si="3"/>
        <v>105</v>
      </c>
      <c r="F17" s="217">
        <f t="shared" si="4"/>
        <v>1383.3333333333335</v>
      </c>
    </row>
    <row r="18" spans="1:6" x14ac:dyDescent="0.25">
      <c r="A18" s="215">
        <v>4</v>
      </c>
      <c r="B18" s="216">
        <f t="shared" si="0"/>
        <v>5000</v>
      </c>
      <c r="C18" s="217">
        <f>B18/2*$C$10</f>
        <v>14750</v>
      </c>
      <c r="D18" s="217">
        <f t="shared" si="2"/>
        <v>958.75</v>
      </c>
      <c r="E18" s="217">
        <f t="shared" si="3"/>
        <v>140</v>
      </c>
      <c r="F18" s="217">
        <f t="shared" si="4"/>
        <v>1098.75</v>
      </c>
    </row>
    <row r="19" spans="1:6" x14ac:dyDescent="0.25">
      <c r="A19" s="215">
        <v>5</v>
      </c>
      <c r="B19" s="216">
        <f t="shared" si="0"/>
        <v>4000</v>
      </c>
      <c r="C19" s="217">
        <f>B19/2*$C$9</f>
        <v>12800</v>
      </c>
      <c r="D19" s="217">
        <f t="shared" si="2"/>
        <v>832</v>
      </c>
      <c r="E19" s="217">
        <f t="shared" si="3"/>
        <v>175</v>
      </c>
      <c r="F19" s="217">
        <f t="shared" si="4"/>
        <v>1007</v>
      </c>
    </row>
    <row r="20" spans="1:6" x14ac:dyDescent="0.25">
      <c r="A20" s="215">
        <v>6</v>
      </c>
      <c r="B20" s="216">
        <f t="shared" si="0"/>
        <v>3333.3333333333335</v>
      </c>
      <c r="C20" s="217">
        <f t="shared" ref="C20:C29" si="5">B20/2*$C$9</f>
        <v>10666.666666666668</v>
      </c>
      <c r="D20" s="217">
        <f t="shared" si="2"/>
        <v>693.33333333333348</v>
      </c>
      <c r="E20" s="217">
        <f t="shared" si="3"/>
        <v>210</v>
      </c>
      <c r="F20" s="217">
        <f t="shared" si="4"/>
        <v>903.33333333333348</v>
      </c>
    </row>
    <row r="21" spans="1:6" x14ac:dyDescent="0.25">
      <c r="A21" s="215">
        <v>7</v>
      </c>
      <c r="B21" s="216">
        <f t="shared" si="0"/>
        <v>2857.1428571428573</v>
      </c>
      <c r="C21" s="217">
        <f t="shared" si="5"/>
        <v>9142.8571428571431</v>
      </c>
      <c r="D21" s="217">
        <f t="shared" si="2"/>
        <v>594.28571428571433</v>
      </c>
      <c r="E21" s="217">
        <f t="shared" si="3"/>
        <v>245</v>
      </c>
      <c r="F21" s="217">
        <f t="shared" si="4"/>
        <v>839.28571428571433</v>
      </c>
    </row>
    <row r="22" spans="1:6" x14ac:dyDescent="0.25">
      <c r="A22" s="215">
        <v>8</v>
      </c>
      <c r="B22" s="216">
        <f t="shared" si="0"/>
        <v>2500</v>
      </c>
      <c r="C22" s="217">
        <f t="shared" si="5"/>
        <v>8000</v>
      </c>
      <c r="D22" s="217">
        <f t="shared" si="2"/>
        <v>520</v>
      </c>
      <c r="E22" s="217">
        <f t="shared" si="3"/>
        <v>280</v>
      </c>
      <c r="F22" s="217">
        <f t="shared" si="4"/>
        <v>800</v>
      </c>
    </row>
    <row r="23" spans="1:6" x14ac:dyDescent="0.25">
      <c r="A23" s="215">
        <v>9</v>
      </c>
      <c r="B23" s="216">
        <f t="shared" si="0"/>
        <v>2222.2222222222222</v>
      </c>
      <c r="C23" s="217">
        <f t="shared" si="5"/>
        <v>7111.1111111111113</v>
      </c>
      <c r="D23" s="217">
        <f t="shared" si="2"/>
        <v>462.22222222222223</v>
      </c>
      <c r="E23" s="217">
        <f t="shared" si="3"/>
        <v>315</v>
      </c>
      <c r="F23" s="217">
        <f t="shared" si="4"/>
        <v>777.22222222222217</v>
      </c>
    </row>
    <row r="24" spans="1:6" x14ac:dyDescent="0.25">
      <c r="A24" s="215">
        <v>10</v>
      </c>
      <c r="B24" s="216">
        <f t="shared" si="0"/>
        <v>2000</v>
      </c>
      <c r="C24" s="217">
        <f t="shared" si="5"/>
        <v>6400</v>
      </c>
      <c r="D24" s="217">
        <f t="shared" si="2"/>
        <v>416</v>
      </c>
      <c r="E24" s="217">
        <f t="shared" si="3"/>
        <v>350</v>
      </c>
      <c r="F24" s="217">
        <f t="shared" si="4"/>
        <v>766</v>
      </c>
    </row>
    <row r="25" spans="1:6" x14ac:dyDescent="0.25">
      <c r="A25" s="215">
        <v>11</v>
      </c>
      <c r="B25" s="216">
        <f t="shared" si="0"/>
        <v>1818.1818181818182</v>
      </c>
      <c r="C25" s="217">
        <f t="shared" si="5"/>
        <v>5818.1818181818189</v>
      </c>
      <c r="D25" s="217">
        <f t="shared" si="2"/>
        <v>378.18181818181824</v>
      </c>
      <c r="E25" s="217">
        <f t="shared" si="3"/>
        <v>385</v>
      </c>
      <c r="F25" s="217">
        <f t="shared" si="4"/>
        <v>763.18181818181824</v>
      </c>
    </row>
    <row r="26" spans="1:6" x14ac:dyDescent="0.25">
      <c r="A26" s="215">
        <v>12</v>
      </c>
      <c r="B26" s="216">
        <f t="shared" si="0"/>
        <v>1666.6666666666667</v>
      </c>
      <c r="C26" s="217">
        <f t="shared" si="5"/>
        <v>5333.3333333333339</v>
      </c>
      <c r="D26" s="217">
        <f t="shared" si="2"/>
        <v>346.66666666666674</v>
      </c>
      <c r="E26" s="217">
        <f t="shared" si="3"/>
        <v>420</v>
      </c>
      <c r="F26" s="217">
        <f t="shared" si="4"/>
        <v>766.66666666666674</v>
      </c>
    </row>
    <row r="27" spans="1:6" x14ac:dyDescent="0.25">
      <c r="A27" s="215">
        <v>13</v>
      </c>
      <c r="B27" s="216">
        <f t="shared" si="0"/>
        <v>1538.4615384615386</v>
      </c>
      <c r="C27" s="217">
        <f t="shared" si="5"/>
        <v>4923.0769230769238</v>
      </c>
      <c r="D27" s="217">
        <f t="shared" si="2"/>
        <v>320.00000000000006</v>
      </c>
      <c r="E27" s="217">
        <f t="shared" si="3"/>
        <v>455</v>
      </c>
      <c r="F27" s="217">
        <f t="shared" si="4"/>
        <v>775</v>
      </c>
    </row>
    <row r="28" spans="1:6" x14ac:dyDescent="0.25">
      <c r="A28" s="215">
        <v>14</v>
      </c>
      <c r="B28" s="216">
        <f t="shared" si="0"/>
        <v>1428.5714285714287</v>
      </c>
      <c r="C28" s="217">
        <f t="shared" si="5"/>
        <v>4571.4285714285716</v>
      </c>
      <c r="D28" s="217">
        <f t="shared" si="2"/>
        <v>297.14285714285717</v>
      </c>
      <c r="E28" s="217">
        <f t="shared" si="3"/>
        <v>490</v>
      </c>
      <c r="F28" s="217">
        <f t="shared" si="4"/>
        <v>787.14285714285711</v>
      </c>
    </row>
    <row r="29" spans="1:6" x14ac:dyDescent="0.25">
      <c r="A29" s="215">
        <v>15</v>
      </c>
      <c r="B29" s="216">
        <f t="shared" si="0"/>
        <v>1333.3333333333333</v>
      </c>
      <c r="C29" s="217">
        <f t="shared" si="5"/>
        <v>4266.666666666667</v>
      </c>
      <c r="D29" s="217">
        <f t="shared" si="2"/>
        <v>277.33333333333337</v>
      </c>
      <c r="E29" s="217">
        <f t="shared" si="3"/>
        <v>525</v>
      </c>
      <c r="F29" s="217">
        <f t="shared" si="4"/>
        <v>802.33333333333337</v>
      </c>
    </row>
    <row r="30" spans="1:6" ht="15.75" thickBot="1" x14ac:dyDescent="0.3">
      <c r="C30" s="141">
        <f>B15/2*VLOOKUP(B15,$D$9:$E$11,2)</f>
        <v>48000</v>
      </c>
      <c r="D30" t="s">
        <v>626</v>
      </c>
    </row>
    <row r="31" spans="1:6" ht="16.5" thickTop="1" thickBot="1" x14ac:dyDescent="0.3">
      <c r="C31" s="142">
        <f>IF(B15&gt;=$D$11,B15/2*$C$11,IF(B15&gt;=$D$10,B15/2*$C$10,B15/2*$C$9))</f>
        <v>48000</v>
      </c>
      <c r="D31" t="s">
        <v>627</v>
      </c>
    </row>
    <row r="32" spans="1:6" ht="16.5" thickTop="1" thickBot="1" x14ac:dyDescent="0.3">
      <c r="C32" s="449"/>
    </row>
    <row r="33" spans="1:6" ht="15.75" thickBot="1" x14ac:dyDescent="0.3">
      <c r="A33" s="10" t="s">
        <v>521</v>
      </c>
      <c r="D33" s="143" t="s">
        <v>851</v>
      </c>
      <c r="E33" t="s">
        <v>526</v>
      </c>
    </row>
    <row r="35" spans="1:6" x14ac:dyDescent="0.25">
      <c r="A35" s="446" t="s">
        <v>522</v>
      </c>
      <c r="B35" s="10"/>
      <c r="C35" s="10"/>
      <c r="D35" s="10"/>
      <c r="E35" s="10"/>
      <c r="F35" s="10"/>
    </row>
    <row r="36" spans="1:6" x14ac:dyDescent="0.25">
      <c r="A36" s="446" t="s">
        <v>523</v>
      </c>
      <c r="B36" s="10"/>
      <c r="C36" s="10"/>
      <c r="D36" s="10"/>
      <c r="E36" s="10"/>
      <c r="F36" s="10"/>
    </row>
    <row r="37" spans="1:6" x14ac:dyDescent="0.25">
      <c r="A37" s="446" t="s">
        <v>524</v>
      </c>
      <c r="B37" s="10"/>
      <c r="C37" s="10"/>
      <c r="D37" s="10"/>
      <c r="E37" s="10"/>
      <c r="F37" s="10"/>
    </row>
    <row r="38" spans="1:6" x14ac:dyDescent="0.25">
      <c r="A38" s="446" t="s">
        <v>525</v>
      </c>
      <c r="B38" s="10"/>
      <c r="C38" s="10"/>
      <c r="D38" s="10"/>
      <c r="E38" s="10"/>
      <c r="F38" s="10"/>
    </row>
  </sheetData>
  <mergeCells count="1">
    <mergeCell ref="A13:A14"/>
  </mergeCells>
  <conditionalFormatting sqref="A35:F38">
    <cfRule type="expression" dxfId="3" priority="1">
      <formula>$D$33="x"</formula>
    </cfRule>
  </conditionalFormatting>
  <pageMargins left="0.7" right="0.7" top="0.78740157499999996" bottom="0.78740157499999996"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E50"/>
  <sheetViews>
    <sheetView workbookViewId="0"/>
  </sheetViews>
  <sheetFormatPr baseColWidth="10" defaultColWidth="11.42578125" defaultRowHeight="15" x14ac:dyDescent="0.25"/>
  <cols>
    <col min="1" max="1" width="39.85546875" customWidth="1"/>
    <col min="2" max="2" width="16" customWidth="1"/>
    <col min="4" max="4" width="22" customWidth="1"/>
    <col min="5" max="5" width="25" customWidth="1"/>
  </cols>
  <sheetData>
    <row r="1" spans="1:3" ht="21" x14ac:dyDescent="0.35">
      <c r="A1" s="162" t="s">
        <v>426</v>
      </c>
      <c r="B1" s="620" t="s">
        <v>1305</v>
      </c>
      <c r="C1" s="620"/>
    </row>
    <row r="2" spans="1:3" x14ac:dyDescent="0.25">
      <c r="A2" t="s">
        <v>520</v>
      </c>
    </row>
    <row r="4" spans="1:3" x14ac:dyDescent="0.25">
      <c r="A4" s="300" t="s">
        <v>628</v>
      </c>
    </row>
    <row r="6" spans="1:3" x14ac:dyDescent="0.25">
      <c r="A6" s="10" t="s">
        <v>533</v>
      </c>
    </row>
    <row r="7" spans="1:3" x14ac:dyDescent="0.25">
      <c r="A7" s="92" t="s">
        <v>629</v>
      </c>
    </row>
    <row r="8" spans="1:3" x14ac:dyDescent="0.25">
      <c r="A8" s="93" t="s">
        <v>527</v>
      </c>
      <c r="B8" s="73">
        <v>3250</v>
      </c>
    </row>
    <row r="9" spans="1:3" x14ac:dyDescent="0.25">
      <c r="A9" s="93" t="s">
        <v>428</v>
      </c>
      <c r="B9" s="73">
        <v>1900</v>
      </c>
    </row>
    <row r="10" spans="1:3" x14ac:dyDescent="0.25">
      <c r="A10" s="93" t="s">
        <v>536</v>
      </c>
    </row>
    <row r="11" spans="1:3" x14ac:dyDescent="0.25">
      <c r="A11" s="93" t="s">
        <v>528</v>
      </c>
      <c r="B11" s="91">
        <v>0.186</v>
      </c>
    </row>
    <row r="12" spans="1:3" x14ac:dyDescent="0.25">
      <c r="A12" s="93" t="s">
        <v>529</v>
      </c>
      <c r="B12" s="91">
        <v>0.03</v>
      </c>
    </row>
    <row r="13" spans="1:3" x14ac:dyDescent="0.25">
      <c r="A13" s="93" t="s">
        <v>530</v>
      </c>
      <c r="B13" s="91">
        <v>0.14599999999999999</v>
      </c>
    </row>
    <row r="14" spans="1:3" x14ac:dyDescent="0.25">
      <c r="A14" s="93" t="s">
        <v>531</v>
      </c>
      <c r="B14" s="91">
        <v>2.5499999999999998E-2</v>
      </c>
    </row>
    <row r="15" spans="1:3" x14ac:dyDescent="0.25">
      <c r="A15" s="93" t="s">
        <v>532</v>
      </c>
    </row>
    <row r="16" spans="1:3" x14ac:dyDescent="0.25">
      <c r="A16" s="93" t="s">
        <v>538</v>
      </c>
      <c r="B16" s="73">
        <v>2000</v>
      </c>
    </row>
    <row r="18" spans="1:5" x14ac:dyDescent="0.25">
      <c r="A18" s="92" t="s">
        <v>630</v>
      </c>
    </row>
    <row r="19" spans="1:5" x14ac:dyDescent="0.25">
      <c r="A19" s="93" t="s">
        <v>427</v>
      </c>
      <c r="B19" s="56">
        <v>1850</v>
      </c>
    </row>
    <row r="20" spans="1:5" x14ac:dyDescent="0.25">
      <c r="A20" s="93" t="s">
        <v>534</v>
      </c>
      <c r="B20" s="73">
        <v>29</v>
      </c>
    </row>
    <row r="22" spans="1:5" x14ac:dyDescent="0.25">
      <c r="A22" s="10" t="s">
        <v>642</v>
      </c>
    </row>
    <row r="23" spans="1:5" x14ac:dyDescent="0.25">
      <c r="A23" s="15" t="s">
        <v>535</v>
      </c>
    </row>
    <row r="24" spans="1:5" x14ac:dyDescent="0.25">
      <c r="A24" s="15" t="s">
        <v>537</v>
      </c>
    </row>
    <row r="26" spans="1:5" x14ac:dyDescent="0.25">
      <c r="A26" s="10" t="s">
        <v>643</v>
      </c>
    </row>
    <row r="27" spans="1:5" x14ac:dyDescent="0.25">
      <c r="A27" s="15" t="s">
        <v>539</v>
      </c>
    </row>
    <row r="28" spans="1:5" x14ac:dyDescent="0.25">
      <c r="A28" s="15" t="s">
        <v>537</v>
      </c>
    </row>
    <row r="29" spans="1:5" x14ac:dyDescent="0.25">
      <c r="A29" s="15"/>
    </row>
    <row r="30" spans="1:5" ht="15.75" thickBot="1" x14ac:dyDescent="0.3">
      <c r="A30" s="154" t="s">
        <v>0</v>
      </c>
    </row>
    <row r="31" spans="1:5" ht="15.75" x14ac:dyDescent="0.25">
      <c r="A31" s="145" t="s">
        <v>629</v>
      </c>
      <c r="B31" s="146"/>
      <c r="C31" s="144"/>
      <c r="D31" s="145" t="s">
        <v>639</v>
      </c>
      <c r="E31" s="105"/>
    </row>
    <row r="32" spans="1:5" x14ac:dyDescent="0.25">
      <c r="A32" s="106"/>
      <c r="B32" s="107"/>
      <c r="D32" s="106"/>
      <c r="E32" s="107"/>
    </row>
    <row r="33" spans="1:5" x14ac:dyDescent="0.25">
      <c r="A33" s="106" t="s">
        <v>631</v>
      </c>
      <c r="B33" s="147"/>
      <c r="D33" s="106" t="s">
        <v>640</v>
      </c>
      <c r="E33" s="151"/>
    </row>
    <row r="34" spans="1:5" x14ac:dyDescent="0.25">
      <c r="A34" s="106" t="s">
        <v>428</v>
      </c>
      <c r="B34" s="147"/>
      <c r="D34" s="106" t="s">
        <v>641</v>
      </c>
      <c r="E34" s="152"/>
    </row>
    <row r="35" spans="1:5" x14ac:dyDescent="0.25">
      <c r="A35" s="106" t="s">
        <v>632</v>
      </c>
      <c r="B35" s="147"/>
      <c r="D35" s="106"/>
      <c r="E35" s="62"/>
    </row>
    <row r="36" spans="1:5" x14ac:dyDescent="0.25">
      <c r="A36" s="106" t="s">
        <v>633</v>
      </c>
      <c r="B36" s="147"/>
      <c r="D36" s="150" t="s">
        <v>638</v>
      </c>
      <c r="E36" s="153"/>
    </row>
    <row r="37" spans="1:5" x14ac:dyDescent="0.25">
      <c r="A37" s="106" t="s">
        <v>634</v>
      </c>
      <c r="B37" s="147"/>
      <c r="D37" s="106"/>
      <c r="E37" s="62"/>
    </row>
    <row r="38" spans="1:5" x14ac:dyDescent="0.25">
      <c r="A38" s="106" t="s">
        <v>636</v>
      </c>
      <c r="B38" s="147"/>
      <c r="D38" s="106"/>
      <c r="E38" s="62"/>
    </row>
    <row r="39" spans="1:5" x14ac:dyDescent="0.25">
      <c r="A39" s="106" t="s">
        <v>635</v>
      </c>
      <c r="B39" s="147"/>
      <c r="D39" s="106"/>
      <c r="E39" s="62"/>
    </row>
    <row r="40" spans="1:5" x14ac:dyDescent="0.25">
      <c r="A40" s="106" t="s">
        <v>637</v>
      </c>
      <c r="B40" s="147"/>
      <c r="D40" s="106"/>
      <c r="E40" s="62"/>
    </row>
    <row r="41" spans="1:5" x14ac:dyDescent="0.25">
      <c r="A41" s="106"/>
      <c r="B41" s="107"/>
      <c r="D41" s="106"/>
      <c r="E41" s="62"/>
    </row>
    <row r="42" spans="1:5" ht="15.75" thickBot="1" x14ac:dyDescent="0.3">
      <c r="A42" s="148" t="s">
        <v>638</v>
      </c>
      <c r="B42" s="149"/>
      <c r="D42" s="108"/>
      <c r="E42" s="63"/>
    </row>
    <row r="44" spans="1:5" x14ac:dyDescent="0.25">
      <c r="A44" s="154" t="s">
        <v>22</v>
      </c>
    </row>
    <row r="45" spans="1:5" x14ac:dyDescent="0.25">
      <c r="A45" s="52"/>
    </row>
    <row r="46" spans="1:5" x14ac:dyDescent="0.25">
      <c r="A46" s="93" t="s">
        <v>855</v>
      </c>
    </row>
    <row r="48" spans="1:5" x14ac:dyDescent="0.25">
      <c r="A48" s="154" t="s">
        <v>52</v>
      </c>
    </row>
    <row r="49" spans="1:1" x14ac:dyDescent="0.25">
      <c r="A49" s="52"/>
    </row>
    <row r="50" spans="1:1" x14ac:dyDescent="0.25">
      <c r="A50" s="93" t="s">
        <v>857</v>
      </c>
    </row>
  </sheetData>
  <pageMargins left="0.70866141732283472" right="0.70866141732283472" top="0.78740157480314965" bottom="0.78740157480314965" header="0.31496062992125984" footer="0.31496062992125984"/>
  <pageSetup paperSize="9" scale="76"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E50"/>
  <sheetViews>
    <sheetView zoomScaleNormal="100" workbookViewId="0"/>
  </sheetViews>
  <sheetFormatPr baseColWidth="10" defaultRowHeight="15" x14ac:dyDescent="0.25"/>
  <cols>
    <col min="1" max="1" width="39.85546875" customWidth="1"/>
    <col min="2" max="2" width="16" customWidth="1"/>
    <col min="4" max="4" width="22" customWidth="1"/>
    <col min="5" max="5" width="25" customWidth="1"/>
  </cols>
  <sheetData>
    <row r="1" spans="1:3" ht="21" x14ac:dyDescent="0.35">
      <c r="A1" s="162" t="s">
        <v>426</v>
      </c>
      <c r="B1" s="620" t="s">
        <v>1306</v>
      </c>
      <c r="C1" s="620"/>
    </row>
    <row r="2" spans="1:3" x14ac:dyDescent="0.25">
      <c r="A2" t="s">
        <v>520</v>
      </c>
    </row>
    <row r="4" spans="1:3" x14ac:dyDescent="0.25">
      <c r="A4" s="300" t="s">
        <v>628</v>
      </c>
    </row>
    <row r="6" spans="1:3" x14ac:dyDescent="0.25">
      <c r="A6" s="10" t="s">
        <v>533</v>
      </c>
    </row>
    <row r="7" spans="1:3" x14ac:dyDescent="0.25">
      <c r="A7" s="92" t="s">
        <v>629</v>
      </c>
    </row>
    <row r="8" spans="1:3" x14ac:dyDescent="0.25">
      <c r="A8" s="93" t="s">
        <v>527</v>
      </c>
      <c r="B8" s="73">
        <v>3250</v>
      </c>
    </row>
    <row r="9" spans="1:3" x14ac:dyDescent="0.25">
      <c r="A9" s="93" t="s">
        <v>428</v>
      </c>
      <c r="B9" s="73">
        <v>1900</v>
      </c>
    </row>
    <row r="10" spans="1:3" x14ac:dyDescent="0.25">
      <c r="A10" s="93" t="s">
        <v>536</v>
      </c>
    </row>
    <row r="11" spans="1:3" x14ac:dyDescent="0.25">
      <c r="A11" s="93" t="s">
        <v>528</v>
      </c>
      <c r="B11" s="91">
        <v>0.186</v>
      </c>
    </row>
    <row r="12" spans="1:3" x14ac:dyDescent="0.25">
      <c r="A12" s="93" t="s">
        <v>529</v>
      </c>
      <c r="B12" s="91">
        <v>0.03</v>
      </c>
    </row>
    <row r="13" spans="1:3" x14ac:dyDescent="0.25">
      <c r="A13" s="93" t="s">
        <v>530</v>
      </c>
      <c r="B13" s="91">
        <v>0.14599999999999999</v>
      </c>
    </row>
    <row r="14" spans="1:3" x14ac:dyDescent="0.25">
      <c r="A14" s="93" t="s">
        <v>531</v>
      </c>
      <c r="B14" s="91">
        <v>2.5499999999999998E-2</v>
      </c>
    </row>
    <row r="15" spans="1:3" x14ac:dyDescent="0.25">
      <c r="A15" s="93" t="s">
        <v>532</v>
      </c>
    </row>
    <row r="16" spans="1:3" x14ac:dyDescent="0.25">
      <c r="A16" s="93" t="s">
        <v>538</v>
      </c>
      <c r="B16" s="73">
        <v>2000</v>
      </c>
    </row>
    <row r="18" spans="1:5" x14ac:dyDescent="0.25">
      <c r="A18" s="92" t="s">
        <v>630</v>
      </c>
    </row>
    <row r="19" spans="1:5" x14ac:dyDescent="0.25">
      <c r="A19" s="93" t="s">
        <v>427</v>
      </c>
      <c r="B19" s="56">
        <v>1850</v>
      </c>
    </row>
    <row r="20" spans="1:5" x14ac:dyDescent="0.25">
      <c r="A20" s="93" t="s">
        <v>534</v>
      </c>
      <c r="B20" s="73">
        <v>29</v>
      </c>
    </row>
    <row r="22" spans="1:5" x14ac:dyDescent="0.25">
      <c r="A22" s="10" t="s">
        <v>642</v>
      </c>
    </row>
    <row r="23" spans="1:5" x14ac:dyDescent="0.25">
      <c r="A23" s="15" t="s">
        <v>535</v>
      </c>
    </row>
    <row r="24" spans="1:5" x14ac:dyDescent="0.25">
      <c r="A24" s="15" t="s">
        <v>537</v>
      </c>
    </row>
    <row r="26" spans="1:5" x14ac:dyDescent="0.25">
      <c r="A26" s="10" t="s">
        <v>643</v>
      </c>
    </row>
    <row r="27" spans="1:5" x14ac:dyDescent="0.25">
      <c r="A27" s="15" t="s">
        <v>539</v>
      </c>
    </row>
    <row r="28" spans="1:5" x14ac:dyDescent="0.25">
      <c r="A28" s="15" t="s">
        <v>537</v>
      </c>
    </row>
    <row r="29" spans="1:5" x14ac:dyDescent="0.25">
      <c r="A29" s="15"/>
    </row>
    <row r="30" spans="1:5" ht="15.75" thickBot="1" x14ac:dyDescent="0.3">
      <c r="A30" s="154" t="s">
        <v>0</v>
      </c>
    </row>
    <row r="31" spans="1:5" ht="15.75" x14ac:dyDescent="0.25">
      <c r="A31" s="145" t="s">
        <v>629</v>
      </c>
      <c r="B31" s="146"/>
      <c r="C31" s="144"/>
      <c r="D31" s="145" t="s">
        <v>639</v>
      </c>
      <c r="E31" s="105"/>
    </row>
    <row r="32" spans="1:5" x14ac:dyDescent="0.25">
      <c r="A32" s="106"/>
      <c r="B32" s="107"/>
      <c r="D32" s="106"/>
      <c r="E32" s="107"/>
    </row>
    <row r="33" spans="1:5" x14ac:dyDescent="0.25">
      <c r="A33" s="106" t="s">
        <v>631</v>
      </c>
      <c r="B33" s="147">
        <f>B8*12</f>
        <v>39000</v>
      </c>
      <c r="D33" s="106" t="s">
        <v>640</v>
      </c>
      <c r="E33" s="151">
        <f>B19</f>
        <v>1850</v>
      </c>
    </row>
    <row r="34" spans="1:5" x14ac:dyDescent="0.25">
      <c r="A34" s="106" t="s">
        <v>428</v>
      </c>
      <c r="B34" s="147">
        <f>B9</f>
        <v>1900</v>
      </c>
      <c r="D34" s="106" t="s">
        <v>641</v>
      </c>
      <c r="E34" s="152">
        <f>B20</f>
        <v>29</v>
      </c>
    </row>
    <row r="35" spans="1:5" x14ac:dyDescent="0.25">
      <c r="A35" s="106" t="s">
        <v>632</v>
      </c>
      <c r="B35" s="147">
        <f>B33+B34</f>
        <v>40900</v>
      </c>
      <c r="D35" s="106"/>
      <c r="E35" s="62"/>
    </row>
    <row r="36" spans="1:5" x14ac:dyDescent="0.25">
      <c r="A36" s="106" t="s">
        <v>633</v>
      </c>
      <c r="B36" s="147">
        <f>$B$35*B11/2</f>
        <v>3803.7</v>
      </c>
      <c r="D36" s="150" t="s">
        <v>638</v>
      </c>
      <c r="E36" s="153">
        <f>E33*E34</f>
        <v>53650</v>
      </c>
    </row>
    <row r="37" spans="1:5" x14ac:dyDescent="0.25">
      <c r="A37" s="106" t="s">
        <v>634</v>
      </c>
      <c r="B37" s="147">
        <f>$B$35*B12/2</f>
        <v>613.5</v>
      </c>
      <c r="D37" s="106"/>
      <c r="E37" s="62"/>
    </row>
    <row r="38" spans="1:5" x14ac:dyDescent="0.25">
      <c r="A38" s="106" t="s">
        <v>636</v>
      </c>
      <c r="B38" s="147">
        <f>$B$35*B13/2</f>
        <v>2985.7</v>
      </c>
      <c r="D38" s="106"/>
      <c r="E38" s="62"/>
    </row>
    <row r="39" spans="1:5" x14ac:dyDescent="0.25">
      <c r="A39" s="106" t="s">
        <v>635</v>
      </c>
      <c r="B39" s="147">
        <f>$B$35*B14/2</f>
        <v>521.47500000000002</v>
      </c>
      <c r="D39" s="106"/>
      <c r="E39" s="62"/>
    </row>
    <row r="40" spans="1:5" x14ac:dyDescent="0.25">
      <c r="A40" s="106" t="s">
        <v>637</v>
      </c>
      <c r="B40" s="147">
        <f>B16</f>
        <v>2000</v>
      </c>
      <c r="D40" s="106"/>
      <c r="E40" s="62"/>
    </row>
    <row r="41" spans="1:5" x14ac:dyDescent="0.25">
      <c r="A41" s="106"/>
      <c r="B41" s="107"/>
      <c r="D41" s="106"/>
      <c r="E41" s="62"/>
    </row>
    <row r="42" spans="1:5" ht="15.75" thickBot="1" x14ac:dyDescent="0.3">
      <c r="A42" s="148" t="s">
        <v>638</v>
      </c>
      <c r="B42" s="149">
        <f>SUM(B35:B40)</f>
        <v>50824.374999999993</v>
      </c>
      <c r="D42" s="108"/>
      <c r="E42" s="63"/>
    </row>
    <row r="44" spans="1:5" x14ac:dyDescent="0.25">
      <c r="A44" s="154" t="s">
        <v>22</v>
      </c>
    </row>
    <row r="45" spans="1:5" x14ac:dyDescent="0.25">
      <c r="A45" s="52" t="s">
        <v>854</v>
      </c>
    </row>
    <row r="46" spans="1:5" x14ac:dyDescent="0.25">
      <c r="A46" s="93" t="s">
        <v>855</v>
      </c>
    </row>
    <row r="48" spans="1:5" x14ac:dyDescent="0.25">
      <c r="A48" s="154" t="s">
        <v>52</v>
      </c>
    </row>
    <row r="49" spans="1:1" x14ac:dyDescent="0.25">
      <c r="A49" s="52" t="s">
        <v>856</v>
      </c>
    </row>
    <row r="50" spans="1:1" x14ac:dyDescent="0.25">
      <c r="A50" s="93" t="s">
        <v>857</v>
      </c>
    </row>
  </sheetData>
  <pageMargins left="0.7" right="0.7" top="0.78740157499999996" bottom="0.78740157499999996"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I45"/>
  <sheetViews>
    <sheetView workbookViewId="0"/>
  </sheetViews>
  <sheetFormatPr baseColWidth="10" defaultColWidth="11.42578125" defaultRowHeight="15" x14ac:dyDescent="0.25"/>
  <cols>
    <col min="1" max="1" width="19.5703125" customWidth="1"/>
    <col min="2" max="2" width="13" customWidth="1"/>
    <col min="5" max="5" width="12.28515625" customWidth="1"/>
    <col min="6" max="6" width="11.5703125" bestFit="1" customWidth="1"/>
    <col min="7" max="7" width="14.5703125" bestFit="1" customWidth="1"/>
  </cols>
  <sheetData>
    <row r="1" spans="1:7" ht="21" x14ac:dyDescent="0.35">
      <c r="A1" s="162" t="s">
        <v>448</v>
      </c>
      <c r="B1" s="618" t="s">
        <v>1301</v>
      </c>
      <c r="C1" s="620"/>
      <c r="D1" s="615"/>
    </row>
    <row r="3" spans="1:7" x14ac:dyDescent="0.25">
      <c r="A3" s="300" t="s">
        <v>858</v>
      </c>
    </row>
    <row r="5" spans="1:7" x14ac:dyDescent="0.25">
      <c r="A5" s="208" t="s">
        <v>449</v>
      </c>
      <c r="B5" s="118"/>
      <c r="C5" s="209" t="s">
        <v>258</v>
      </c>
    </row>
    <row r="6" spans="1:7" x14ac:dyDescent="0.25">
      <c r="A6" s="208" t="s">
        <v>540</v>
      </c>
      <c r="B6" s="156"/>
      <c r="C6" s="209" t="s">
        <v>258</v>
      </c>
    </row>
    <row r="7" spans="1:7" x14ac:dyDescent="0.25">
      <c r="A7" s="210"/>
      <c r="B7" s="69"/>
      <c r="C7" s="68"/>
    </row>
    <row r="8" spans="1:7" x14ac:dyDescent="0.25">
      <c r="A8" s="463" t="s">
        <v>450</v>
      </c>
      <c r="B8" s="464"/>
      <c r="C8" s="465" t="s">
        <v>451</v>
      </c>
      <c r="D8" s="466" t="s">
        <v>452</v>
      </c>
      <c r="E8" s="677" t="s">
        <v>542</v>
      </c>
      <c r="F8" s="466" t="s">
        <v>453</v>
      </c>
      <c r="G8" s="467" t="s">
        <v>454</v>
      </c>
    </row>
    <row r="9" spans="1:7" x14ac:dyDescent="0.25">
      <c r="A9" s="468"/>
      <c r="B9" s="469"/>
      <c r="C9" s="470"/>
      <c r="D9" s="471"/>
      <c r="E9" s="678"/>
      <c r="F9" s="471"/>
      <c r="G9" s="472"/>
    </row>
    <row r="10" spans="1:7" x14ac:dyDescent="0.25">
      <c r="A10" s="210" t="s">
        <v>455</v>
      </c>
      <c r="B10" s="70"/>
      <c r="C10" s="211">
        <v>30000</v>
      </c>
      <c r="D10" s="187"/>
      <c r="E10" s="212">
        <v>4</v>
      </c>
      <c r="F10" s="187"/>
      <c r="G10" s="188"/>
    </row>
    <row r="11" spans="1:7" x14ac:dyDescent="0.25">
      <c r="A11" s="210" t="s">
        <v>456</v>
      </c>
      <c r="B11" s="70"/>
      <c r="C11" s="211">
        <v>20000</v>
      </c>
      <c r="D11" s="187"/>
      <c r="E11" s="212">
        <v>4</v>
      </c>
      <c r="F11" s="187"/>
      <c r="G11" s="188"/>
    </row>
    <row r="12" spans="1:7" x14ac:dyDescent="0.25">
      <c r="A12" s="210" t="s">
        <v>457</v>
      </c>
      <c r="B12" s="70"/>
      <c r="C12" s="211">
        <v>15000</v>
      </c>
      <c r="D12" s="187"/>
      <c r="E12" s="212">
        <v>2</v>
      </c>
      <c r="F12" s="187"/>
      <c r="G12" s="188"/>
    </row>
    <row r="13" spans="1:7" x14ac:dyDescent="0.25">
      <c r="A13" s="210" t="s">
        <v>458</v>
      </c>
      <c r="B13" s="70"/>
      <c r="C13" s="213">
        <v>10000</v>
      </c>
      <c r="D13" s="189"/>
      <c r="E13" s="214">
        <v>1</v>
      </c>
      <c r="F13" s="189"/>
      <c r="G13" s="190"/>
    </row>
    <row r="14" spans="1:7" x14ac:dyDescent="0.25">
      <c r="A14" s="454" t="s">
        <v>45</v>
      </c>
      <c r="B14" s="453"/>
      <c r="C14" s="453"/>
      <c r="D14" s="455"/>
      <c r="E14" s="33"/>
      <c r="F14" s="33"/>
      <c r="G14" s="33"/>
    </row>
    <row r="16" spans="1:7" x14ac:dyDescent="0.25">
      <c r="A16" s="210" t="s">
        <v>1216</v>
      </c>
    </row>
    <row r="17" spans="1:9" x14ac:dyDescent="0.25">
      <c r="A17" s="210" t="s">
        <v>541</v>
      </c>
    </row>
    <row r="18" spans="1:9" x14ac:dyDescent="0.25">
      <c r="A18" s="210" t="s">
        <v>543</v>
      </c>
    </row>
    <row r="19" spans="1:9" x14ac:dyDescent="0.25">
      <c r="A19" s="210" t="s">
        <v>545</v>
      </c>
    </row>
    <row r="20" spans="1:9" x14ac:dyDescent="0.25">
      <c r="A20" s="210" t="s">
        <v>544</v>
      </c>
    </row>
    <row r="21" spans="1:9" ht="45" customHeight="1" x14ac:dyDescent="0.25">
      <c r="A21" s="679" t="s">
        <v>859</v>
      </c>
      <c r="B21" s="679"/>
      <c r="C21" s="679"/>
      <c r="D21" s="679"/>
      <c r="E21" s="679"/>
      <c r="F21" s="679"/>
      <c r="G21" s="679"/>
    </row>
    <row r="22" spans="1:9" ht="15.75" thickBot="1" x14ac:dyDescent="0.3"/>
    <row r="23" spans="1:9" ht="15.75" thickBot="1" x14ac:dyDescent="0.3">
      <c r="A23" s="473" t="s">
        <v>644</v>
      </c>
      <c r="C23" s="474"/>
      <c r="D23" t="s">
        <v>861</v>
      </c>
    </row>
    <row r="24" spans="1:9" x14ac:dyDescent="0.25">
      <c r="A24" s="475" t="s">
        <v>645</v>
      </c>
      <c r="B24" s="294"/>
      <c r="C24" s="294"/>
      <c r="D24" s="294"/>
      <c r="E24" s="294"/>
      <c r="F24" s="294"/>
      <c r="G24" s="294"/>
      <c r="H24" s="294"/>
      <c r="I24" s="294"/>
    </row>
    <row r="25" spans="1:9" x14ac:dyDescent="0.25">
      <c r="A25" s="475" t="s">
        <v>860</v>
      </c>
      <c r="B25" s="294"/>
      <c r="C25" s="294"/>
      <c r="D25" s="294"/>
      <c r="E25" s="294"/>
      <c r="F25" s="294"/>
      <c r="G25" s="294"/>
      <c r="H25" s="294"/>
      <c r="I25" s="294"/>
    </row>
    <row r="26" spans="1:9" x14ac:dyDescent="0.25">
      <c r="A26" s="475" t="s">
        <v>646</v>
      </c>
      <c r="B26" s="294"/>
      <c r="C26" s="294"/>
      <c r="D26" s="294"/>
      <c r="E26" s="294"/>
      <c r="F26" s="294"/>
      <c r="G26" s="294"/>
      <c r="H26" s="294"/>
      <c r="I26" s="294"/>
    </row>
    <row r="28" spans="1:9" ht="15.75" thickBot="1" x14ac:dyDescent="0.3"/>
    <row r="29" spans="1:9" x14ac:dyDescent="0.25">
      <c r="A29" s="103"/>
      <c r="B29" s="104"/>
      <c r="C29" s="104"/>
      <c r="D29" s="104"/>
      <c r="E29" s="104"/>
      <c r="F29" s="104"/>
      <c r="G29" s="105"/>
    </row>
    <row r="30" spans="1:9" x14ac:dyDescent="0.25">
      <c r="A30" s="106"/>
      <c r="G30" s="107"/>
    </row>
    <row r="31" spans="1:9" x14ac:dyDescent="0.25">
      <c r="A31" s="106"/>
      <c r="G31" s="107"/>
    </row>
    <row r="32" spans="1:9" x14ac:dyDescent="0.25">
      <c r="A32" s="106"/>
      <c r="G32" s="107"/>
    </row>
    <row r="33" spans="1:7" x14ac:dyDescent="0.25">
      <c r="A33" s="106"/>
      <c r="G33" s="107"/>
    </row>
    <row r="34" spans="1:7" x14ac:dyDescent="0.25">
      <c r="A34" s="106"/>
      <c r="G34" s="107"/>
    </row>
    <row r="35" spans="1:7" x14ac:dyDescent="0.25">
      <c r="A35" s="106"/>
      <c r="G35" s="107"/>
    </row>
    <row r="36" spans="1:7" x14ac:dyDescent="0.25">
      <c r="A36" s="106"/>
      <c r="C36" t="s">
        <v>792</v>
      </c>
      <c r="G36" s="107"/>
    </row>
    <row r="37" spans="1:7" x14ac:dyDescent="0.25">
      <c r="A37" s="106"/>
      <c r="G37" s="107"/>
    </row>
    <row r="38" spans="1:7" x14ac:dyDescent="0.25">
      <c r="A38" s="106"/>
      <c r="G38" s="107"/>
    </row>
    <row r="39" spans="1:7" x14ac:dyDescent="0.25">
      <c r="A39" s="106"/>
      <c r="G39" s="107"/>
    </row>
    <row r="40" spans="1:7" x14ac:dyDescent="0.25">
      <c r="A40" s="106"/>
      <c r="G40" s="107"/>
    </row>
    <row r="41" spans="1:7" x14ac:dyDescent="0.25">
      <c r="A41" s="106"/>
      <c r="G41" s="107"/>
    </row>
    <row r="42" spans="1:7" x14ac:dyDescent="0.25">
      <c r="A42" s="106"/>
      <c r="G42" s="107"/>
    </row>
    <row r="43" spans="1:7" x14ac:dyDescent="0.25">
      <c r="A43" s="106"/>
      <c r="G43" s="107"/>
    </row>
    <row r="44" spans="1:7" x14ac:dyDescent="0.25">
      <c r="A44" s="106"/>
      <c r="G44" s="107"/>
    </row>
    <row r="45" spans="1:7" ht="15.75" thickBot="1" x14ac:dyDescent="0.3">
      <c r="A45" s="108"/>
      <c r="B45" s="109"/>
      <c r="C45" s="109"/>
      <c r="D45" s="109"/>
      <c r="E45" s="109"/>
      <c r="F45" s="109"/>
      <c r="G45" s="110"/>
    </row>
  </sheetData>
  <mergeCells count="2">
    <mergeCell ref="E8:E9"/>
    <mergeCell ref="A21:G21"/>
  </mergeCells>
  <conditionalFormatting sqref="A24:I26">
    <cfRule type="expression" dxfId="2" priority="1">
      <formula>$C$23="x"</formula>
    </cfRule>
  </conditionalFormatting>
  <pageMargins left="0.70866141732283472" right="0.70866141732283472" top="0.78740157480314965" bottom="0.78740157480314965" header="0.31496062992125984" footer="0.31496062992125984"/>
  <pageSetup paperSize="9" scale="74"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45"/>
  <sheetViews>
    <sheetView workbookViewId="0">
      <selection activeCell="F10" sqref="F10"/>
    </sheetView>
  </sheetViews>
  <sheetFormatPr baseColWidth="10" defaultRowHeight="15" x14ac:dyDescent="0.25"/>
  <cols>
    <col min="1" max="1" width="19.5703125" customWidth="1"/>
    <col min="2" max="2" width="13" customWidth="1"/>
    <col min="5" max="5" width="12.28515625" customWidth="1"/>
    <col min="6" max="6" width="11.5703125" bestFit="1" customWidth="1"/>
    <col min="7" max="7" width="14.5703125" bestFit="1" customWidth="1"/>
  </cols>
  <sheetData>
    <row r="1" spans="1:7" ht="21" x14ac:dyDescent="0.35">
      <c r="A1" s="162" t="s">
        <v>448</v>
      </c>
      <c r="B1" s="618" t="s">
        <v>1302</v>
      </c>
      <c r="C1" s="619"/>
      <c r="D1" s="615"/>
    </row>
    <row r="3" spans="1:7" x14ac:dyDescent="0.25">
      <c r="A3" s="300" t="s">
        <v>858</v>
      </c>
    </row>
    <row r="5" spans="1:7" x14ac:dyDescent="0.25">
      <c r="A5" s="94" t="s">
        <v>449</v>
      </c>
      <c r="B5" s="155">
        <v>73290</v>
      </c>
      <c r="C5" s="95" t="s">
        <v>258</v>
      </c>
    </row>
    <row r="6" spans="1:7" x14ac:dyDescent="0.25">
      <c r="A6" s="94" t="s">
        <v>540</v>
      </c>
      <c r="B6" s="156">
        <v>0.04</v>
      </c>
      <c r="C6" s="95" t="s">
        <v>258</v>
      </c>
    </row>
    <row r="7" spans="1:7" x14ac:dyDescent="0.25">
      <c r="A7" s="28"/>
      <c r="B7" s="69"/>
      <c r="C7" s="68"/>
    </row>
    <row r="8" spans="1:7" x14ac:dyDescent="0.25">
      <c r="A8" s="684" t="s">
        <v>450</v>
      </c>
      <c r="B8" s="685"/>
      <c r="C8" s="680" t="s">
        <v>451</v>
      </c>
      <c r="D8" s="689" t="s">
        <v>452</v>
      </c>
      <c r="E8" s="682" t="s">
        <v>542</v>
      </c>
      <c r="F8" s="689" t="s">
        <v>453</v>
      </c>
      <c r="G8" s="680" t="s">
        <v>454</v>
      </c>
    </row>
    <row r="9" spans="1:7" ht="15.75" thickBot="1" x14ac:dyDescent="0.3">
      <c r="A9" s="686"/>
      <c r="B9" s="687"/>
      <c r="C9" s="688"/>
      <c r="D9" s="690"/>
      <c r="E9" s="683"/>
      <c r="F9" s="691"/>
      <c r="G9" s="681"/>
    </row>
    <row r="10" spans="1:7" ht="15.75" thickTop="1" x14ac:dyDescent="0.25">
      <c r="A10" s="28" t="s">
        <v>1212</v>
      </c>
      <c r="B10" s="70"/>
      <c r="C10" s="456">
        <v>120000</v>
      </c>
      <c r="D10" s="458">
        <f>C10*$B$6</f>
        <v>4800</v>
      </c>
      <c r="E10" s="158">
        <v>4</v>
      </c>
      <c r="F10" s="459">
        <f>($B$5-$D$14)/$E$14*E10</f>
        <v>24516</v>
      </c>
      <c r="G10" s="460">
        <f>D10+F10</f>
        <v>29316</v>
      </c>
    </row>
    <row r="11" spans="1:7" x14ac:dyDescent="0.25">
      <c r="A11" s="28" t="s">
        <v>1213</v>
      </c>
      <c r="B11" s="70"/>
      <c r="C11" s="456">
        <v>80000</v>
      </c>
      <c r="D11" s="458">
        <f t="shared" ref="D11:D13" si="0">C11*$B$6</f>
        <v>3200</v>
      </c>
      <c r="E11" s="158">
        <v>3</v>
      </c>
      <c r="F11" s="461">
        <f t="shared" ref="F11:F13" si="1">($B$5-$D$14)/$E$14*E11</f>
        <v>18387</v>
      </c>
      <c r="G11" s="462">
        <f t="shared" ref="G11:G13" si="2">D11+F11</f>
        <v>21587</v>
      </c>
    </row>
    <row r="12" spans="1:7" x14ac:dyDescent="0.25">
      <c r="A12" s="28" t="s">
        <v>1214</v>
      </c>
      <c r="B12" s="70"/>
      <c r="C12" s="456">
        <v>60000</v>
      </c>
      <c r="D12" s="458">
        <f t="shared" si="0"/>
        <v>2400</v>
      </c>
      <c r="E12" s="158">
        <v>2</v>
      </c>
      <c r="F12" s="461">
        <f t="shared" si="1"/>
        <v>12258</v>
      </c>
      <c r="G12" s="462">
        <f t="shared" si="2"/>
        <v>14658</v>
      </c>
    </row>
    <row r="13" spans="1:7" x14ac:dyDescent="0.25">
      <c r="A13" s="71" t="s">
        <v>1215</v>
      </c>
      <c r="B13" s="72"/>
      <c r="C13" s="456">
        <v>40000</v>
      </c>
      <c r="D13" s="458">
        <f t="shared" si="0"/>
        <v>1600</v>
      </c>
      <c r="E13" s="158">
        <v>1</v>
      </c>
      <c r="F13" s="461">
        <f t="shared" si="1"/>
        <v>6129</v>
      </c>
      <c r="G13" s="462">
        <f t="shared" si="2"/>
        <v>7729</v>
      </c>
    </row>
    <row r="14" spans="1:7" x14ac:dyDescent="0.25">
      <c r="A14" s="457" t="s">
        <v>647</v>
      </c>
      <c r="B14" s="453"/>
      <c r="C14" s="33"/>
      <c r="D14" s="395">
        <f>SUM(D10:D13)</f>
        <v>12000</v>
      </c>
      <c r="E14" s="160">
        <f>SUM(E10:E13)</f>
        <v>10</v>
      </c>
      <c r="F14" s="395">
        <f>SUM(F10:F13)</f>
        <v>61290</v>
      </c>
      <c r="G14" s="395">
        <f>SUM(G10:G13)</f>
        <v>73290</v>
      </c>
    </row>
    <row r="16" spans="1:7" x14ac:dyDescent="0.25">
      <c r="A16" s="210" t="s">
        <v>1216</v>
      </c>
    </row>
    <row r="17" spans="1:7" x14ac:dyDescent="0.25">
      <c r="A17" s="210" t="s">
        <v>541</v>
      </c>
    </row>
    <row r="18" spans="1:7" x14ac:dyDescent="0.25">
      <c r="A18" s="210" t="s">
        <v>543</v>
      </c>
    </row>
    <row r="19" spans="1:7" x14ac:dyDescent="0.25">
      <c r="A19" s="210" t="s">
        <v>545</v>
      </c>
    </row>
    <row r="20" spans="1:7" x14ac:dyDescent="0.25">
      <c r="A20" s="210" t="s">
        <v>544</v>
      </c>
    </row>
    <row r="21" spans="1:7" ht="45" customHeight="1" x14ac:dyDescent="0.25">
      <c r="A21" s="679" t="s">
        <v>859</v>
      </c>
      <c r="B21" s="679"/>
      <c r="C21" s="679"/>
      <c r="D21" s="679"/>
      <c r="E21" s="679"/>
      <c r="F21" s="679"/>
      <c r="G21" s="679"/>
    </row>
    <row r="23" spans="1:7" x14ac:dyDescent="0.25">
      <c r="A23" s="28" t="s">
        <v>644</v>
      </c>
    </row>
    <row r="24" spans="1:7" x14ac:dyDescent="0.25">
      <c r="A24" s="157" t="s">
        <v>645</v>
      </c>
    </row>
    <row r="25" spans="1:7" x14ac:dyDescent="0.25">
      <c r="A25" s="157" t="s">
        <v>860</v>
      </c>
    </row>
    <row r="26" spans="1:7" x14ac:dyDescent="0.25">
      <c r="A26" s="157" t="s">
        <v>646</v>
      </c>
    </row>
    <row r="43" spans="1:1" x14ac:dyDescent="0.25">
      <c r="A43" s="10" t="s">
        <v>620</v>
      </c>
    </row>
    <row r="44" spans="1:1" x14ac:dyDescent="0.25">
      <c r="A44" s="9" t="s">
        <v>648</v>
      </c>
    </row>
    <row r="45" spans="1:1" x14ac:dyDescent="0.25">
      <c r="A45" s="9" t="s">
        <v>649</v>
      </c>
    </row>
  </sheetData>
  <mergeCells count="7">
    <mergeCell ref="A21:G21"/>
    <mergeCell ref="G8:G9"/>
    <mergeCell ref="E8:E9"/>
    <mergeCell ref="A8:B9"/>
    <mergeCell ref="C8:C9"/>
    <mergeCell ref="D8:D9"/>
    <mergeCell ref="F8:F9"/>
  </mergeCells>
  <pageMargins left="0.7" right="0.7" top="0.78740157499999996" bottom="0.78740157499999996"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G28"/>
  <sheetViews>
    <sheetView workbookViewId="0"/>
  </sheetViews>
  <sheetFormatPr baseColWidth="10" defaultColWidth="11.42578125" defaultRowHeight="15" x14ac:dyDescent="0.25"/>
  <cols>
    <col min="1" max="1" width="27.140625" customWidth="1"/>
    <col min="2" max="2" width="14.5703125" customWidth="1"/>
    <col min="3" max="3" width="14.7109375" customWidth="1"/>
    <col min="4" max="4" width="13.28515625" customWidth="1"/>
    <col min="5" max="5" width="5.42578125" customWidth="1"/>
    <col min="6" max="6" width="13.140625" bestFit="1" customWidth="1"/>
    <col min="7" max="7" width="14" customWidth="1"/>
  </cols>
  <sheetData>
    <row r="1" spans="1:7" ht="21" x14ac:dyDescent="0.35">
      <c r="A1" s="162" t="s">
        <v>448</v>
      </c>
      <c r="B1" s="615" t="s">
        <v>1303</v>
      </c>
      <c r="C1" s="615"/>
    </row>
    <row r="3" spans="1:7" x14ac:dyDescent="0.25">
      <c r="A3" s="300" t="s">
        <v>862</v>
      </c>
    </row>
    <row r="4" spans="1:7" x14ac:dyDescent="0.25">
      <c r="A4" s="40"/>
      <c r="B4" s="40"/>
      <c r="C4" s="40"/>
      <c r="D4" s="40"/>
      <c r="E4" s="40"/>
      <c r="F4" s="40"/>
      <c r="G4" s="40"/>
    </row>
    <row r="5" spans="1:7" x14ac:dyDescent="0.25">
      <c r="A5" s="287" t="s">
        <v>461</v>
      </c>
      <c r="B5" s="287" t="s">
        <v>351</v>
      </c>
      <c r="C5" s="287" t="s">
        <v>462</v>
      </c>
      <c r="D5" s="287" t="s">
        <v>463</v>
      </c>
      <c r="E5" s="287"/>
      <c r="F5" s="225" t="s">
        <v>464</v>
      </c>
      <c r="G5" s="225"/>
    </row>
    <row r="6" spans="1:7" x14ac:dyDescent="0.25">
      <c r="A6" s="40" t="s">
        <v>213</v>
      </c>
      <c r="B6" s="87">
        <v>92950</v>
      </c>
      <c r="C6" s="483"/>
      <c r="D6" s="55"/>
      <c r="E6" s="40"/>
      <c r="F6" s="287" t="s">
        <v>351</v>
      </c>
      <c r="G6" s="287" t="s">
        <v>462</v>
      </c>
    </row>
    <row r="7" spans="1:7" x14ac:dyDescent="0.25">
      <c r="A7" t="s">
        <v>225</v>
      </c>
      <c r="B7">
        <v>44102</v>
      </c>
      <c r="C7" s="480"/>
      <c r="D7" s="55"/>
      <c r="F7">
        <v>0</v>
      </c>
      <c r="G7" s="68">
        <v>0</v>
      </c>
    </row>
    <row r="8" spans="1:7" x14ac:dyDescent="0.25">
      <c r="A8" t="s">
        <v>216</v>
      </c>
      <c r="B8">
        <v>129452</v>
      </c>
      <c r="C8" s="480"/>
      <c r="F8">
        <v>100000</v>
      </c>
      <c r="G8" s="68">
        <v>0.01</v>
      </c>
    </row>
    <row r="9" spans="1:7" x14ac:dyDescent="0.25">
      <c r="A9" t="s">
        <v>220</v>
      </c>
      <c r="B9">
        <v>240504</v>
      </c>
      <c r="C9" s="480"/>
      <c r="F9">
        <v>200000</v>
      </c>
      <c r="G9" s="68">
        <v>0.02</v>
      </c>
    </row>
    <row r="10" spans="1:7" x14ac:dyDescent="0.25">
      <c r="A10" t="s">
        <v>218</v>
      </c>
      <c r="B10">
        <v>275957</v>
      </c>
      <c r="C10" s="480"/>
      <c r="F10">
        <v>300000</v>
      </c>
      <c r="G10" s="68">
        <v>0.02</v>
      </c>
    </row>
    <row r="11" spans="1:7" x14ac:dyDescent="0.25">
      <c r="A11" t="s">
        <v>211</v>
      </c>
      <c r="B11">
        <v>302048</v>
      </c>
      <c r="C11" s="480"/>
      <c r="F11">
        <v>400000</v>
      </c>
      <c r="G11" s="68">
        <v>0.04</v>
      </c>
    </row>
    <row r="12" spans="1:7" x14ac:dyDescent="0.25">
      <c r="A12" t="s">
        <v>224</v>
      </c>
      <c r="B12">
        <v>360571</v>
      </c>
      <c r="C12" s="480"/>
      <c r="F12">
        <v>500000</v>
      </c>
      <c r="G12" s="68">
        <v>0.04</v>
      </c>
    </row>
    <row r="13" spans="1:7" x14ac:dyDescent="0.25">
      <c r="A13" t="s">
        <v>217</v>
      </c>
      <c r="B13">
        <v>421098</v>
      </c>
      <c r="C13" s="480"/>
      <c r="F13">
        <v>600000</v>
      </c>
      <c r="G13" s="68">
        <v>0.05</v>
      </c>
    </row>
    <row r="14" spans="1:7" x14ac:dyDescent="0.25">
      <c r="A14" t="s">
        <v>219</v>
      </c>
      <c r="B14">
        <v>780927</v>
      </c>
      <c r="C14" s="480"/>
      <c r="F14">
        <v>700000</v>
      </c>
      <c r="G14" s="68">
        <v>0.05</v>
      </c>
    </row>
    <row r="15" spans="1:7" x14ac:dyDescent="0.25">
      <c r="A15" t="s">
        <v>215</v>
      </c>
      <c r="B15">
        <v>905075</v>
      </c>
      <c r="C15" s="480"/>
      <c r="F15">
        <v>800000</v>
      </c>
      <c r="G15" s="68">
        <v>0.06</v>
      </c>
    </row>
    <row r="16" spans="1:7" x14ac:dyDescent="0.25">
      <c r="A16" t="s">
        <v>212</v>
      </c>
      <c r="B16">
        <v>929452</v>
      </c>
      <c r="C16" s="480"/>
      <c r="F16">
        <v>900000</v>
      </c>
      <c r="G16" s="68">
        <v>7.0000000000000007E-2</v>
      </c>
    </row>
    <row r="17" spans="1:7" x14ac:dyDescent="0.25">
      <c r="A17" t="s">
        <v>210</v>
      </c>
      <c r="B17">
        <v>1155247</v>
      </c>
      <c r="C17" s="480"/>
      <c r="F17">
        <v>1000000</v>
      </c>
      <c r="G17" s="68">
        <v>0.08</v>
      </c>
    </row>
    <row r="18" spans="1:7" x14ac:dyDescent="0.25">
      <c r="A18" s="10"/>
      <c r="B18" s="481"/>
      <c r="C18" s="482"/>
      <c r="D18" s="481"/>
      <c r="F18" s="73"/>
      <c r="G18" s="68"/>
    </row>
    <row r="21" spans="1:7" x14ac:dyDescent="0.25">
      <c r="A21" t="s">
        <v>866</v>
      </c>
    </row>
    <row r="22" spans="1:7" x14ac:dyDescent="0.25">
      <c r="A22" t="s">
        <v>651</v>
      </c>
    </row>
    <row r="23" spans="1:7" x14ac:dyDescent="0.25">
      <c r="A23" t="s">
        <v>652</v>
      </c>
    </row>
    <row r="24" spans="1:7" x14ac:dyDescent="0.25">
      <c r="A24" t="s">
        <v>653</v>
      </c>
    </row>
    <row r="25" spans="1:7" x14ac:dyDescent="0.25">
      <c r="A25" t="s">
        <v>863</v>
      </c>
    </row>
    <row r="26" spans="1:7" x14ac:dyDescent="0.25">
      <c r="A26" t="s">
        <v>546</v>
      </c>
    </row>
    <row r="27" spans="1:7" ht="30" customHeight="1" x14ac:dyDescent="0.25">
      <c r="A27" s="692" t="s">
        <v>864</v>
      </c>
      <c r="B27" s="692"/>
      <c r="C27" s="692"/>
      <c r="D27" s="692"/>
      <c r="E27" s="692"/>
      <c r="F27" s="692"/>
      <c r="G27" s="692"/>
    </row>
    <row r="28" spans="1:7" ht="30" customHeight="1" x14ac:dyDescent="0.25">
      <c r="A28" s="642" t="s">
        <v>865</v>
      </c>
      <c r="B28" s="642"/>
      <c r="C28" s="642"/>
      <c r="D28" s="642"/>
      <c r="E28" s="642"/>
      <c r="F28" s="642"/>
      <c r="G28" s="642"/>
    </row>
  </sheetData>
  <mergeCells count="2">
    <mergeCell ref="A27:G27"/>
    <mergeCell ref="A28:G28"/>
  </mergeCells>
  <pageMargins left="0.70866141732283472" right="0.70866141732283472" top="0.78740157480314965" bottom="0.78740157480314965" header="0.31496062992125984" footer="0.31496062992125984"/>
  <pageSetup paperSize="9"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8"/>
  <sheetViews>
    <sheetView workbookViewId="0"/>
  </sheetViews>
  <sheetFormatPr baseColWidth="10" defaultColWidth="11.42578125" defaultRowHeight="15" x14ac:dyDescent="0.25"/>
  <cols>
    <col min="1" max="1" width="27.140625" customWidth="1"/>
    <col min="2" max="2" width="14.5703125" customWidth="1"/>
    <col min="3" max="3" width="14.7109375" customWidth="1"/>
    <col min="4" max="4" width="13.28515625" customWidth="1"/>
    <col min="5" max="5" width="5.42578125" customWidth="1"/>
    <col min="6" max="6" width="13.140625" bestFit="1" customWidth="1"/>
    <col min="7" max="7" width="14" customWidth="1"/>
  </cols>
  <sheetData>
    <row r="1" spans="1:7" ht="21" x14ac:dyDescent="0.35">
      <c r="A1" s="162" t="s">
        <v>448</v>
      </c>
      <c r="B1" s="620" t="s">
        <v>1306</v>
      </c>
      <c r="C1" s="620"/>
    </row>
    <row r="3" spans="1:7" x14ac:dyDescent="0.25">
      <c r="A3" s="300" t="s">
        <v>862</v>
      </c>
    </row>
    <row r="5" spans="1:7" x14ac:dyDescent="0.25">
      <c r="A5" s="476" t="s">
        <v>461</v>
      </c>
      <c r="B5" s="476" t="s">
        <v>351</v>
      </c>
      <c r="C5" s="476" t="s">
        <v>462</v>
      </c>
      <c r="D5" s="476" t="s">
        <v>463</v>
      </c>
      <c r="E5" s="352"/>
      <c r="F5" s="693" t="s">
        <v>464</v>
      </c>
      <c r="G5" s="694"/>
    </row>
    <row r="6" spans="1:7" x14ac:dyDescent="0.25">
      <c r="A6" s="33" t="s">
        <v>213</v>
      </c>
      <c r="B6" s="163">
        <v>92950</v>
      </c>
      <c r="C6" s="159">
        <f t="shared" ref="C6:C17" si="0">VLOOKUP(B6,$F$7:$G$17,2)</f>
        <v>0</v>
      </c>
      <c r="D6" s="163">
        <f t="shared" ref="D6:D17" si="1">B6*C6</f>
        <v>0</v>
      </c>
      <c r="F6" s="476" t="s">
        <v>351</v>
      </c>
      <c r="G6" s="476" t="s">
        <v>462</v>
      </c>
    </row>
    <row r="7" spans="1:7" x14ac:dyDescent="0.25">
      <c r="A7" s="33" t="s">
        <v>225</v>
      </c>
      <c r="B7" s="163">
        <v>44102</v>
      </c>
      <c r="C7" s="159">
        <f t="shared" si="0"/>
        <v>0</v>
      </c>
      <c r="D7" s="163">
        <f t="shared" si="1"/>
        <v>0</v>
      </c>
      <c r="F7" s="163">
        <v>0</v>
      </c>
      <c r="G7" s="477">
        <v>0</v>
      </c>
    </row>
    <row r="8" spans="1:7" x14ac:dyDescent="0.25">
      <c r="A8" s="33" t="s">
        <v>216</v>
      </c>
      <c r="B8" s="163">
        <v>129452</v>
      </c>
      <c r="C8" s="159">
        <f t="shared" si="0"/>
        <v>0.01</v>
      </c>
      <c r="D8" s="163">
        <f t="shared" si="1"/>
        <v>1294.52</v>
      </c>
      <c r="F8" s="163">
        <v>100000</v>
      </c>
      <c r="G8" s="477">
        <v>0.01</v>
      </c>
    </row>
    <row r="9" spans="1:7" x14ac:dyDescent="0.25">
      <c r="A9" s="33" t="s">
        <v>220</v>
      </c>
      <c r="B9" s="163">
        <v>240504</v>
      </c>
      <c r="C9" s="159">
        <f t="shared" si="0"/>
        <v>0.02</v>
      </c>
      <c r="D9" s="163">
        <f t="shared" si="1"/>
        <v>4810.08</v>
      </c>
      <c r="F9" s="163">
        <v>200000</v>
      </c>
      <c r="G9" s="477">
        <v>0.02</v>
      </c>
    </row>
    <row r="10" spans="1:7" x14ac:dyDescent="0.25">
      <c r="A10" s="33" t="s">
        <v>218</v>
      </c>
      <c r="B10" s="163">
        <v>275957</v>
      </c>
      <c r="C10" s="159">
        <f t="shared" si="0"/>
        <v>0.02</v>
      </c>
      <c r="D10" s="163">
        <f t="shared" si="1"/>
        <v>5519.14</v>
      </c>
      <c r="F10" s="163">
        <v>300000</v>
      </c>
      <c r="G10" s="477">
        <v>0.02</v>
      </c>
    </row>
    <row r="11" spans="1:7" x14ac:dyDescent="0.25">
      <c r="A11" s="33" t="s">
        <v>211</v>
      </c>
      <c r="B11" s="163">
        <v>302048</v>
      </c>
      <c r="C11" s="159">
        <f t="shared" si="0"/>
        <v>0.02</v>
      </c>
      <c r="D11" s="163">
        <f t="shared" si="1"/>
        <v>6040.96</v>
      </c>
      <c r="F11" s="163">
        <v>400000</v>
      </c>
      <c r="G11" s="477">
        <v>0.04</v>
      </c>
    </row>
    <row r="12" spans="1:7" x14ac:dyDescent="0.25">
      <c r="A12" s="33" t="s">
        <v>224</v>
      </c>
      <c r="B12" s="163">
        <v>360571</v>
      </c>
      <c r="C12" s="159">
        <f t="shared" si="0"/>
        <v>0.02</v>
      </c>
      <c r="D12" s="163">
        <f t="shared" si="1"/>
        <v>7211.42</v>
      </c>
      <c r="F12" s="163">
        <v>500000</v>
      </c>
      <c r="G12" s="477">
        <v>0.04</v>
      </c>
    </row>
    <row r="13" spans="1:7" x14ac:dyDescent="0.25">
      <c r="A13" s="33" t="s">
        <v>217</v>
      </c>
      <c r="B13" s="163">
        <v>421098</v>
      </c>
      <c r="C13" s="159">
        <f t="shared" si="0"/>
        <v>0.04</v>
      </c>
      <c r="D13" s="163">
        <f t="shared" si="1"/>
        <v>16843.920000000002</v>
      </c>
      <c r="F13" s="163">
        <v>600000</v>
      </c>
      <c r="G13" s="477">
        <v>0.05</v>
      </c>
    </row>
    <row r="14" spans="1:7" x14ac:dyDescent="0.25">
      <c r="A14" s="33" t="s">
        <v>219</v>
      </c>
      <c r="B14" s="163">
        <v>780927</v>
      </c>
      <c r="C14" s="159">
        <f t="shared" si="0"/>
        <v>0.05</v>
      </c>
      <c r="D14" s="163">
        <f t="shared" si="1"/>
        <v>39046.35</v>
      </c>
      <c r="F14" s="163">
        <v>700000</v>
      </c>
      <c r="G14" s="477">
        <v>0.05</v>
      </c>
    </row>
    <row r="15" spans="1:7" x14ac:dyDescent="0.25">
      <c r="A15" s="33" t="s">
        <v>215</v>
      </c>
      <c r="B15" s="163">
        <v>905075</v>
      </c>
      <c r="C15" s="159">
        <f t="shared" si="0"/>
        <v>7.0000000000000007E-2</v>
      </c>
      <c r="D15" s="163">
        <f t="shared" si="1"/>
        <v>63355.250000000007</v>
      </c>
      <c r="F15" s="163">
        <v>800000</v>
      </c>
      <c r="G15" s="477">
        <v>0.06</v>
      </c>
    </row>
    <row r="16" spans="1:7" x14ac:dyDescent="0.25">
      <c r="A16" s="33" t="s">
        <v>212</v>
      </c>
      <c r="B16" s="163">
        <v>929452</v>
      </c>
      <c r="C16" s="159">
        <f t="shared" si="0"/>
        <v>7.0000000000000007E-2</v>
      </c>
      <c r="D16" s="163">
        <f t="shared" si="1"/>
        <v>65061.640000000007</v>
      </c>
      <c r="F16" s="163">
        <v>900000</v>
      </c>
      <c r="G16" s="477">
        <v>7.0000000000000007E-2</v>
      </c>
    </row>
    <row r="17" spans="1:7" x14ac:dyDescent="0.25">
      <c r="A17" s="33" t="s">
        <v>210</v>
      </c>
      <c r="B17" s="163">
        <v>1155247</v>
      </c>
      <c r="C17" s="159">
        <f t="shared" si="0"/>
        <v>0.08</v>
      </c>
      <c r="D17" s="163">
        <f t="shared" si="1"/>
        <v>92419.76</v>
      </c>
      <c r="F17" s="163">
        <v>1000000</v>
      </c>
      <c r="G17" s="477">
        <v>0.08</v>
      </c>
    </row>
    <row r="18" spans="1:7" x14ac:dyDescent="0.25">
      <c r="A18" s="51" t="s">
        <v>45</v>
      </c>
      <c r="B18" s="478">
        <f>SUM(B6:B17)</f>
        <v>5637383</v>
      </c>
      <c r="C18" s="479"/>
      <c r="D18" s="478">
        <f>SUM(D6:D17)</f>
        <v>301603.04000000004</v>
      </c>
      <c r="F18" s="73"/>
      <c r="G18" s="68"/>
    </row>
    <row r="21" spans="1:7" x14ac:dyDescent="0.25">
      <c r="A21" t="s">
        <v>650</v>
      </c>
    </row>
    <row r="22" spans="1:7" x14ac:dyDescent="0.25">
      <c r="A22" t="s">
        <v>651</v>
      </c>
    </row>
    <row r="23" spans="1:7" x14ac:dyDescent="0.25">
      <c r="A23" t="s">
        <v>652</v>
      </c>
    </row>
    <row r="24" spans="1:7" x14ac:dyDescent="0.25">
      <c r="A24" t="s">
        <v>653</v>
      </c>
    </row>
    <row r="25" spans="1:7" x14ac:dyDescent="0.25">
      <c r="A25" t="s">
        <v>863</v>
      </c>
    </row>
    <row r="26" spans="1:7" x14ac:dyDescent="0.25">
      <c r="A26" t="s">
        <v>546</v>
      </c>
    </row>
    <row r="27" spans="1:7" ht="30" customHeight="1" x14ac:dyDescent="0.25">
      <c r="A27" s="692" t="s">
        <v>864</v>
      </c>
      <c r="B27" s="692"/>
      <c r="C27" s="692"/>
      <c r="D27" s="692"/>
      <c r="E27" s="692"/>
      <c r="F27" s="692"/>
      <c r="G27" s="692"/>
    </row>
    <row r="28" spans="1:7" ht="30" customHeight="1" x14ac:dyDescent="0.25">
      <c r="A28" s="642" t="s">
        <v>865</v>
      </c>
      <c r="B28" s="642"/>
      <c r="C28" s="642"/>
      <c r="D28" s="642"/>
      <c r="E28" s="642"/>
      <c r="F28" s="642"/>
      <c r="G28" s="642"/>
    </row>
  </sheetData>
  <mergeCells count="3">
    <mergeCell ref="F5:G5"/>
    <mergeCell ref="A27:G27"/>
    <mergeCell ref="A28:G28"/>
  </mergeCells>
  <pageMargins left="0.7" right="0.7" top="0.78740157499999996" bottom="0.78740157499999996"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I57"/>
  <sheetViews>
    <sheetView zoomScaleNormal="100" workbookViewId="0">
      <selection activeCell="H8" sqref="H8"/>
    </sheetView>
  </sheetViews>
  <sheetFormatPr baseColWidth="10" defaultColWidth="11.42578125" defaultRowHeight="15" x14ac:dyDescent="0.25"/>
  <cols>
    <col min="2" max="2" width="18.140625" customWidth="1"/>
  </cols>
  <sheetData>
    <row r="1" spans="1:9" ht="21" x14ac:dyDescent="0.35">
      <c r="A1" s="162" t="s">
        <v>460</v>
      </c>
      <c r="C1" s="626"/>
      <c r="D1" s="627" t="s">
        <v>1307</v>
      </c>
    </row>
    <row r="3" spans="1:9" x14ac:dyDescent="0.25">
      <c r="A3" s="300" t="s">
        <v>549</v>
      </c>
      <c r="B3" s="300"/>
      <c r="C3" s="300"/>
      <c r="D3" s="300"/>
      <c r="E3" s="300"/>
      <c r="F3" s="300"/>
    </row>
    <row r="5" spans="1:9" x14ac:dyDescent="0.25">
      <c r="A5" t="s">
        <v>547</v>
      </c>
      <c r="C5" s="56">
        <v>640</v>
      </c>
      <c r="D5" t="s">
        <v>552</v>
      </c>
      <c r="F5" s="186">
        <f>$F$7+(C5*$C$8)</f>
        <v>41438</v>
      </c>
    </row>
    <row r="6" spans="1:9" x14ac:dyDescent="0.25">
      <c r="A6" t="s">
        <v>548</v>
      </c>
      <c r="C6" s="56">
        <v>350</v>
      </c>
      <c r="D6" t="s">
        <v>553</v>
      </c>
      <c r="F6" s="186">
        <f>$F$7+(C6*$C$8)</f>
        <v>33970.5</v>
      </c>
    </row>
    <row r="7" spans="1:9" ht="15.75" thickBot="1" x14ac:dyDescent="0.3">
      <c r="A7" t="s">
        <v>468</v>
      </c>
      <c r="C7" s="186">
        <v>62.25</v>
      </c>
      <c r="D7" t="s">
        <v>467</v>
      </c>
      <c r="F7" s="186">
        <v>24958</v>
      </c>
      <c r="H7" t="s">
        <v>1289</v>
      </c>
    </row>
    <row r="8" spans="1:9" ht="15.75" thickBot="1" x14ac:dyDescent="0.3">
      <c r="A8" s="294" t="s">
        <v>466</v>
      </c>
      <c r="B8" s="294"/>
      <c r="C8" s="484">
        <v>25.75</v>
      </c>
      <c r="D8" t="s">
        <v>554</v>
      </c>
      <c r="E8" s="56"/>
      <c r="F8" s="607" t="s">
        <v>941</v>
      </c>
      <c r="H8" s="474"/>
      <c r="I8" t="s">
        <v>1249</v>
      </c>
    </row>
    <row r="9" spans="1:9" x14ac:dyDescent="0.25">
      <c r="F9" t="s">
        <v>1288</v>
      </c>
      <c r="H9" s="486" t="s">
        <v>869</v>
      </c>
    </row>
    <row r="10" spans="1:9" x14ac:dyDescent="0.25">
      <c r="A10" s="40" t="s">
        <v>469</v>
      </c>
      <c r="B10" s="40" t="s">
        <v>467</v>
      </c>
      <c r="C10" s="40" t="s">
        <v>470</v>
      </c>
      <c r="D10" s="40" t="s">
        <v>471</v>
      </c>
      <c r="E10" s="40" t="s">
        <v>472</v>
      </c>
      <c r="F10" s="40" t="s">
        <v>473</v>
      </c>
      <c r="H10" s="486" t="s">
        <v>870</v>
      </c>
    </row>
    <row r="11" spans="1:9" x14ac:dyDescent="0.25">
      <c r="A11" s="40" t="s">
        <v>474</v>
      </c>
      <c r="B11" s="40" t="s">
        <v>475</v>
      </c>
      <c r="C11" s="40" t="s">
        <v>476</v>
      </c>
      <c r="D11" s="40" t="s">
        <v>477</v>
      </c>
      <c r="E11" s="40" t="s">
        <v>401</v>
      </c>
      <c r="F11" s="40" t="s">
        <v>478</v>
      </c>
    </row>
    <row r="12" spans="1:9" x14ac:dyDescent="0.25">
      <c r="A12" s="487">
        <v>0</v>
      </c>
      <c r="B12" s="73"/>
      <c r="C12" s="73"/>
      <c r="D12" s="73"/>
      <c r="E12" s="73"/>
      <c r="F12" s="73"/>
    </row>
    <row r="13" spans="1:9" x14ac:dyDescent="0.25">
      <c r="A13">
        <v>100</v>
      </c>
      <c r="B13" s="73"/>
      <c r="C13" s="73"/>
      <c r="D13" s="73"/>
      <c r="E13" s="73"/>
      <c r="F13" s="73"/>
    </row>
    <row r="14" spans="1:9" x14ac:dyDescent="0.25">
      <c r="A14" s="487">
        <v>200</v>
      </c>
      <c r="B14" s="73"/>
      <c r="C14" s="73"/>
      <c r="D14" s="73"/>
      <c r="E14" s="73"/>
      <c r="F14" s="73"/>
    </row>
    <row r="15" spans="1:9" x14ac:dyDescent="0.25">
      <c r="A15">
        <v>300</v>
      </c>
      <c r="B15" s="73"/>
      <c r="C15" s="73"/>
      <c r="D15" s="73"/>
      <c r="E15" s="73"/>
      <c r="F15" s="73"/>
    </row>
    <row r="16" spans="1:9" x14ac:dyDescent="0.25">
      <c r="A16" s="487">
        <v>400</v>
      </c>
      <c r="B16" s="73"/>
      <c r="C16" s="73"/>
      <c r="D16" s="73"/>
      <c r="E16" s="73"/>
      <c r="F16" s="73"/>
    </row>
    <row r="17" spans="1:7" x14ac:dyDescent="0.25">
      <c r="A17">
        <v>500</v>
      </c>
      <c r="B17" s="73"/>
      <c r="C17" s="73"/>
      <c r="D17" s="73"/>
      <c r="E17" s="73"/>
      <c r="F17" s="73"/>
    </row>
    <row r="18" spans="1:7" x14ac:dyDescent="0.25">
      <c r="A18" s="487">
        <v>600</v>
      </c>
      <c r="B18" s="73"/>
      <c r="C18" s="73"/>
      <c r="D18" s="73"/>
      <c r="E18" s="73"/>
      <c r="F18" s="73"/>
    </row>
    <row r="19" spans="1:7" x14ac:dyDescent="0.25">
      <c r="A19">
        <v>700</v>
      </c>
      <c r="B19" s="73"/>
      <c r="C19" s="73"/>
      <c r="D19" s="73"/>
      <c r="E19" s="73"/>
      <c r="F19" s="73"/>
    </row>
    <row r="20" spans="1:7" x14ac:dyDescent="0.25">
      <c r="A20" s="487">
        <v>800</v>
      </c>
      <c r="B20" s="73"/>
      <c r="C20" s="73"/>
      <c r="D20" s="73"/>
      <c r="E20" s="73"/>
      <c r="F20" s="73"/>
    </row>
    <row r="21" spans="1:7" x14ac:dyDescent="0.25">
      <c r="A21">
        <v>900</v>
      </c>
      <c r="B21" s="73"/>
      <c r="C21" s="73"/>
      <c r="D21" s="73"/>
      <c r="E21" s="73"/>
      <c r="F21" s="73"/>
    </row>
    <row r="22" spans="1:7" x14ac:dyDescent="0.25">
      <c r="A22" s="487">
        <v>1000</v>
      </c>
      <c r="B22" s="73"/>
      <c r="C22" s="73"/>
      <c r="D22" s="73"/>
      <c r="E22" s="73"/>
      <c r="F22" s="73"/>
    </row>
    <row r="25" spans="1:7" x14ac:dyDescent="0.25">
      <c r="A25" t="s">
        <v>871</v>
      </c>
    </row>
    <row r="26" spans="1:7" x14ac:dyDescent="0.25">
      <c r="A26" t="s">
        <v>555</v>
      </c>
    </row>
    <row r="27" spans="1:7" x14ac:dyDescent="0.25">
      <c r="A27" t="s">
        <v>550</v>
      </c>
    </row>
    <row r="28" spans="1:7" x14ac:dyDescent="0.25">
      <c r="A28" t="s">
        <v>551</v>
      </c>
    </row>
    <row r="29" spans="1:7" ht="30" customHeight="1" x14ac:dyDescent="0.25">
      <c r="A29" s="642" t="s">
        <v>872</v>
      </c>
      <c r="B29" s="642"/>
      <c r="C29" s="642"/>
      <c r="D29" s="642"/>
      <c r="E29" s="642"/>
      <c r="F29" s="642"/>
      <c r="G29" s="642"/>
    </row>
    <row r="30" spans="1:7" ht="30" customHeight="1" x14ac:dyDescent="0.25">
      <c r="A30" s="642" t="s">
        <v>873</v>
      </c>
      <c r="B30" s="642"/>
      <c r="C30" s="642"/>
      <c r="D30" s="642"/>
      <c r="E30" s="642"/>
      <c r="F30" s="642"/>
      <c r="G30" s="642"/>
    </row>
    <row r="31" spans="1:7" ht="30" customHeight="1" x14ac:dyDescent="0.25">
      <c r="A31" s="642" t="s">
        <v>874</v>
      </c>
      <c r="B31" s="642"/>
      <c r="C31" s="642"/>
      <c r="D31" s="642"/>
      <c r="E31" s="642"/>
      <c r="F31" s="642"/>
      <c r="G31" s="642"/>
    </row>
    <row r="32" spans="1:7" x14ac:dyDescent="0.25">
      <c r="A32" t="s">
        <v>875</v>
      </c>
    </row>
    <row r="33" spans="1:7" ht="15.75" thickBot="1" x14ac:dyDescent="0.3">
      <c r="A33" t="s">
        <v>876</v>
      </c>
    </row>
    <row r="34" spans="1:7" x14ac:dyDescent="0.25">
      <c r="A34" s="103"/>
      <c r="B34" s="104"/>
      <c r="C34" s="104"/>
      <c r="D34" s="104"/>
      <c r="E34" s="104"/>
      <c r="F34" s="104"/>
      <c r="G34" s="105"/>
    </row>
    <row r="35" spans="1:7" x14ac:dyDescent="0.25">
      <c r="A35" s="106"/>
      <c r="G35" s="107"/>
    </row>
    <row r="36" spans="1:7" x14ac:dyDescent="0.25">
      <c r="A36" s="106"/>
      <c r="G36" s="107"/>
    </row>
    <row r="37" spans="1:7" x14ac:dyDescent="0.25">
      <c r="A37" s="106"/>
      <c r="G37" s="107"/>
    </row>
    <row r="38" spans="1:7" x14ac:dyDescent="0.25">
      <c r="A38" s="106"/>
      <c r="G38" s="107"/>
    </row>
    <row r="39" spans="1:7" x14ac:dyDescent="0.25">
      <c r="A39" s="106"/>
      <c r="G39" s="107"/>
    </row>
    <row r="40" spans="1:7" x14ac:dyDescent="0.25">
      <c r="A40" s="106"/>
      <c r="G40" s="107"/>
    </row>
    <row r="41" spans="1:7" x14ac:dyDescent="0.25">
      <c r="A41" s="106"/>
      <c r="C41" t="s">
        <v>792</v>
      </c>
      <c r="G41" s="107"/>
    </row>
    <row r="42" spans="1:7" x14ac:dyDescent="0.25">
      <c r="A42" s="106"/>
      <c r="G42" s="107"/>
    </row>
    <row r="43" spans="1:7" x14ac:dyDescent="0.25">
      <c r="A43" s="106"/>
      <c r="G43" s="107"/>
    </row>
    <row r="44" spans="1:7" x14ac:dyDescent="0.25">
      <c r="A44" s="106"/>
      <c r="G44" s="107"/>
    </row>
    <row r="45" spans="1:7" x14ac:dyDescent="0.25">
      <c r="A45" s="106"/>
      <c r="G45" s="107"/>
    </row>
    <row r="46" spans="1:7" x14ac:dyDescent="0.25">
      <c r="A46" s="106"/>
      <c r="G46" s="107"/>
    </row>
    <row r="47" spans="1:7" x14ac:dyDescent="0.25">
      <c r="A47" s="106"/>
      <c r="G47" s="107"/>
    </row>
    <row r="48" spans="1:7" x14ac:dyDescent="0.25">
      <c r="A48" s="106"/>
      <c r="G48" s="107"/>
    </row>
    <row r="49" spans="1:7" x14ac:dyDescent="0.25">
      <c r="A49" s="106"/>
      <c r="G49" s="107"/>
    </row>
    <row r="50" spans="1:7" ht="15.75" thickBot="1" x14ac:dyDescent="0.3">
      <c r="A50" s="108"/>
      <c r="B50" s="109"/>
      <c r="C50" s="109"/>
      <c r="D50" s="109"/>
      <c r="E50" s="109"/>
      <c r="F50" s="109"/>
      <c r="G50" s="110"/>
    </row>
    <row r="54" spans="1:7" x14ac:dyDescent="0.25">
      <c r="B54" s="381"/>
      <c r="C54" s="488"/>
      <c r="D54" s="10"/>
    </row>
    <row r="55" spans="1:7" x14ac:dyDescent="0.25">
      <c r="B55" s="381"/>
      <c r="C55" s="488"/>
      <c r="D55" s="10"/>
    </row>
    <row r="56" spans="1:7" x14ac:dyDescent="0.25">
      <c r="B56" s="381"/>
      <c r="C56" s="65"/>
      <c r="D56" s="489"/>
    </row>
    <row r="57" spans="1:7" x14ac:dyDescent="0.25">
      <c r="C57" s="65"/>
      <c r="D57" s="10"/>
    </row>
  </sheetData>
  <mergeCells count="3">
    <mergeCell ref="A29:G29"/>
    <mergeCell ref="A30:G30"/>
    <mergeCell ref="A31:G31"/>
  </mergeCells>
  <conditionalFormatting sqref="H9:K10">
    <cfRule type="expression" dxfId="1" priority="1">
      <formula>$H$8="x"</formula>
    </cfRule>
  </conditionalFormatting>
  <pageMargins left="0.70866141732283472" right="0.70866141732283472" top="0.78740157480314965" bottom="0.78740157480314965" header="0.31496062992125984" footer="0.31496062992125984"/>
  <pageSetup paperSize="9" scale="92"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57"/>
  <sheetViews>
    <sheetView workbookViewId="0">
      <selection activeCell="H8" sqref="H8"/>
    </sheetView>
  </sheetViews>
  <sheetFormatPr baseColWidth="10" defaultColWidth="11.42578125" defaultRowHeight="15" x14ac:dyDescent="0.25"/>
  <cols>
    <col min="2" max="2" width="18.140625" customWidth="1"/>
  </cols>
  <sheetData>
    <row r="1" spans="1:9" ht="21" x14ac:dyDescent="0.35">
      <c r="A1" s="162" t="s">
        <v>460</v>
      </c>
      <c r="C1" s="626"/>
      <c r="D1" s="628" t="s">
        <v>1308</v>
      </c>
    </row>
    <row r="3" spans="1:9" ht="18.75" x14ac:dyDescent="0.3">
      <c r="A3" s="695" t="s">
        <v>549</v>
      </c>
      <c r="B3" s="695"/>
      <c r="C3" s="695"/>
      <c r="D3" s="695"/>
      <c r="E3" s="695"/>
      <c r="F3" s="695"/>
    </row>
    <row r="5" spans="1:9" x14ac:dyDescent="0.25">
      <c r="A5" t="s">
        <v>547</v>
      </c>
      <c r="C5" s="56">
        <v>640</v>
      </c>
      <c r="D5" t="s">
        <v>552</v>
      </c>
      <c r="F5" s="186">
        <f>$F$7+(C5*$C$8)</f>
        <v>41438</v>
      </c>
    </row>
    <row r="6" spans="1:9" x14ac:dyDescent="0.25">
      <c r="A6" t="s">
        <v>548</v>
      </c>
      <c r="C6" s="56">
        <v>350</v>
      </c>
      <c r="D6" t="s">
        <v>553</v>
      </c>
      <c r="F6" s="186">
        <f>$F$7+(C6*$C$8)</f>
        <v>33970.5</v>
      </c>
    </row>
    <row r="7" spans="1:9" ht="15.75" thickBot="1" x14ac:dyDescent="0.3">
      <c r="A7" t="s">
        <v>468</v>
      </c>
      <c r="C7" s="186">
        <v>62.25</v>
      </c>
      <c r="D7" t="s">
        <v>467</v>
      </c>
      <c r="F7" s="186">
        <v>24958</v>
      </c>
    </row>
    <row r="8" spans="1:9" ht="15.75" thickBot="1" x14ac:dyDescent="0.3">
      <c r="A8" s="294" t="s">
        <v>466</v>
      </c>
      <c r="B8" s="294"/>
      <c r="C8" s="484">
        <v>25.75</v>
      </c>
      <c r="D8" t="s">
        <v>554</v>
      </c>
      <c r="E8" s="56"/>
      <c r="F8" s="485">
        <f>(F6-F5)/(C6-C5)</f>
        <v>25.75</v>
      </c>
      <c r="G8" t="s">
        <v>867</v>
      </c>
      <c r="H8" s="474" t="s">
        <v>851</v>
      </c>
      <c r="I8" t="s">
        <v>868</v>
      </c>
    </row>
    <row r="9" spans="1:9" x14ac:dyDescent="0.25">
      <c r="H9" s="486" t="s">
        <v>869</v>
      </c>
    </row>
    <row r="10" spans="1:9" x14ac:dyDescent="0.25">
      <c r="A10" s="490" t="s">
        <v>469</v>
      </c>
      <c r="B10" s="490" t="s">
        <v>467</v>
      </c>
      <c r="C10" s="490" t="s">
        <v>470</v>
      </c>
      <c r="D10" s="490" t="s">
        <v>471</v>
      </c>
      <c r="E10" s="490" t="s">
        <v>472</v>
      </c>
      <c r="F10" s="490" t="s">
        <v>473</v>
      </c>
      <c r="H10" s="486" t="s">
        <v>870</v>
      </c>
    </row>
    <row r="11" spans="1:9" x14ac:dyDescent="0.25">
      <c r="A11" s="490" t="s">
        <v>474</v>
      </c>
      <c r="B11" s="490" t="s">
        <v>475</v>
      </c>
      <c r="C11" s="490" t="s">
        <v>476</v>
      </c>
      <c r="D11" s="490" t="s">
        <v>477</v>
      </c>
      <c r="E11" s="490" t="s">
        <v>401</v>
      </c>
      <c r="F11" s="490" t="s">
        <v>478</v>
      </c>
    </row>
    <row r="12" spans="1:9" x14ac:dyDescent="0.25">
      <c r="A12" s="164">
        <v>0</v>
      </c>
      <c r="B12" s="163">
        <f>$F$7</f>
        <v>24958</v>
      </c>
      <c r="C12" s="163">
        <f>A12*$F$8</f>
        <v>0</v>
      </c>
      <c r="D12" s="163">
        <f>B12+C12</f>
        <v>24958</v>
      </c>
      <c r="E12" s="163">
        <f t="shared" ref="E12:E22" si="0">A12*$C$7</f>
        <v>0</v>
      </c>
      <c r="F12" s="163">
        <f>E12-D12</f>
        <v>-24958</v>
      </c>
    </row>
    <row r="13" spans="1:9" x14ac:dyDescent="0.25">
      <c r="A13" s="33">
        <v>100</v>
      </c>
      <c r="B13" s="163">
        <f t="shared" ref="B13:B22" si="1">$F$7</f>
        <v>24958</v>
      </c>
      <c r="C13" s="163">
        <f t="shared" ref="C13:C22" si="2">A13*$F$8</f>
        <v>2575</v>
      </c>
      <c r="D13" s="163">
        <f t="shared" ref="D13:D22" si="3">B13+C13</f>
        <v>27533</v>
      </c>
      <c r="E13" s="163">
        <f t="shared" si="0"/>
        <v>6225</v>
      </c>
      <c r="F13" s="163">
        <f t="shared" ref="F13:F22" si="4">E13-D13</f>
        <v>-21308</v>
      </c>
    </row>
    <row r="14" spans="1:9" x14ac:dyDescent="0.25">
      <c r="A14" s="164">
        <v>200</v>
      </c>
      <c r="B14" s="163">
        <f t="shared" si="1"/>
        <v>24958</v>
      </c>
      <c r="C14" s="163">
        <f t="shared" si="2"/>
        <v>5150</v>
      </c>
      <c r="D14" s="163">
        <f t="shared" si="3"/>
        <v>30108</v>
      </c>
      <c r="E14" s="163">
        <f t="shared" si="0"/>
        <v>12450</v>
      </c>
      <c r="F14" s="163">
        <f t="shared" si="4"/>
        <v>-17658</v>
      </c>
    </row>
    <row r="15" spans="1:9" x14ac:dyDescent="0.25">
      <c r="A15" s="33">
        <v>300</v>
      </c>
      <c r="B15" s="163">
        <f t="shared" si="1"/>
        <v>24958</v>
      </c>
      <c r="C15" s="163">
        <f t="shared" si="2"/>
        <v>7725</v>
      </c>
      <c r="D15" s="163">
        <f t="shared" si="3"/>
        <v>32683</v>
      </c>
      <c r="E15" s="163">
        <f t="shared" si="0"/>
        <v>18675</v>
      </c>
      <c r="F15" s="163">
        <f t="shared" si="4"/>
        <v>-14008</v>
      </c>
    </row>
    <row r="16" spans="1:9" x14ac:dyDescent="0.25">
      <c r="A16" s="164">
        <v>400</v>
      </c>
      <c r="B16" s="163">
        <f t="shared" si="1"/>
        <v>24958</v>
      </c>
      <c r="C16" s="163">
        <f t="shared" si="2"/>
        <v>10300</v>
      </c>
      <c r="D16" s="163">
        <f t="shared" si="3"/>
        <v>35258</v>
      </c>
      <c r="E16" s="163">
        <f t="shared" si="0"/>
        <v>24900</v>
      </c>
      <c r="F16" s="163">
        <f t="shared" si="4"/>
        <v>-10358</v>
      </c>
    </row>
    <row r="17" spans="1:7" x14ac:dyDescent="0.25">
      <c r="A17" s="33">
        <v>500</v>
      </c>
      <c r="B17" s="163">
        <f t="shared" si="1"/>
        <v>24958</v>
      </c>
      <c r="C17" s="163">
        <f t="shared" si="2"/>
        <v>12875</v>
      </c>
      <c r="D17" s="163">
        <f t="shared" si="3"/>
        <v>37833</v>
      </c>
      <c r="E17" s="163">
        <f t="shared" si="0"/>
        <v>31125</v>
      </c>
      <c r="F17" s="163">
        <f t="shared" si="4"/>
        <v>-6708</v>
      </c>
    </row>
    <row r="18" spans="1:7" x14ac:dyDescent="0.25">
      <c r="A18" s="164">
        <v>600</v>
      </c>
      <c r="B18" s="163">
        <f t="shared" si="1"/>
        <v>24958</v>
      </c>
      <c r="C18" s="163">
        <f t="shared" si="2"/>
        <v>15450</v>
      </c>
      <c r="D18" s="163">
        <f t="shared" si="3"/>
        <v>40408</v>
      </c>
      <c r="E18" s="163">
        <f t="shared" si="0"/>
        <v>37350</v>
      </c>
      <c r="F18" s="163">
        <f t="shared" si="4"/>
        <v>-3058</v>
      </c>
    </row>
    <row r="19" spans="1:7" x14ac:dyDescent="0.25">
      <c r="A19" s="33">
        <v>700</v>
      </c>
      <c r="B19" s="163">
        <f t="shared" si="1"/>
        <v>24958</v>
      </c>
      <c r="C19" s="163">
        <f t="shared" si="2"/>
        <v>18025</v>
      </c>
      <c r="D19" s="163">
        <f t="shared" si="3"/>
        <v>42983</v>
      </c>
      <c r="E19" s="163">
        <f t="shared" si="0"/>
        <v>43575</v>
      </c>
      <c r="F19" s="163">
        <f t="shared" si="4"/>
        <v>592</v>
      </c>
    </row>
    <row r="20" spans="1:7" x14ac:dyDescent="0.25">
      <c r="A20" s="164">
        <v>800</v>
      </c>
      <c r="B20" s="163">
        <f t="shared" si="1"/>
        <v>24958</v>
      </c>
      <c r="C20" s="163">
        <f t="shared" si="2"/>
        <v>20600</v>
      </c>
      <c r="D20" s="163">
        <f t="shared" si="3"/>
        <v>45558</v>
      </c>
      <c r="E20" s="163">
        <f t="shared" si="0"/>
        <v>49800</v>
      </c>
      <c r="F20" s="163">
        <f t="shared" si="4"/>
        <v>4242</v>
      </c>
    </row>
    <row r="21" spans="1:7" x14ac:dyDescent="0.25">
      <c r="A21" s="33">
        <v>900</v>
      </c>
      <c r="B21" s="163">
        <f t="shared" si="1"/>
        <v>24958</v>
      </c>
      <c r="C21" s="163">
        <f t="shared" si="2"/>
        <v>23175</v>
      </c>
      <c r="D21" s="163">
        <f t="shared" si="3"/>
        <v>48133</v>
      </c>
      <c r="E21" s="163">
        <f t="shared" si="0"/>
        <v>56025</v>
      </c>
      <c r="F21" s="163">
        <f t="shared" si="4"/>
        <v>7892</v>
      </c>
    </row>
    <row r="22" spans="1:7" x14ac:dyDescent="0.25">
      <c r="A22" s="164">
        <v>1000</v>
      </c>
      <c r="B22" s="163">
        <f t="shared" si="1"/>
        <v>24958</v>
      </c>
      <c r="C22" s="163">
        <f t="shared" si="2"/>
        <v>25750</v>
      </c>
      <c r="D22" s="163">
        <f t="shared" si="3"/>
        <v>50708</v>
      </c>
      <c r="E22" s="163">
        <f t="shared" si="0"/>
        <v>62250</v>
      </c>
      <c r="F22" s="163">
        <f t="shared" si="4"/>
        <v>11542</v>
      </c>
    </row>
    <row r="25" spans="1:7" x14ac:dyDescent="0.25">
      <c r="A25" t="s">
        <v>871</v>
      </c>
    </row>
    <row r="26" spans="1:7" x14ac:dyDescent="0.25">
      <c r="A26" t="s">
        <v>555</v>
      </c>
    </row>
    <row r="27" spans="1:7" x14ac:dyDescent="0.25">
      <c r="A27" t="s">
        <v>550</v>
      </c>
    </row>
    <row r="28" spans="1:7" x14ac:dyDescent="0.25">
      <c r="A28" t="s">
        <v>551</v>
      </c>
    </row>
    <row r="29" spans="1:7" ht="30" customHeight="1" x14ac:dyDescent="0.25">
      <c r="A29" s="642" t="s">
        <v>872</v>
      </c>
      <c r="B29" s="642"/>
      <c r="C29" s="642"/>
      <c r="D29" s="642"/>
      <c r="E29" s="642"/>
      <c r="F29" s="642"/>
      <c r="G29" s="642"/>
    </row>
    <row r="30" spans="1:7" ht="30" customHeight="1" x14ac:dyDescent="0.25">
      <c r="A30" s="642" t="s">
        <v>873</v>
      </c>
      <c r="B30" s="642"/>
      <c r="C30" s="642"/>
      <c r="D30" s="642"/>
      <c r="E30" s="642"/>
      <c r="F30" s="642"/>
      <c r="G30" s="642"/>
    </row>
    <row r="31" spans="1:7" ht="30" customHeight="1" x14ac:dyDescent="0.25">
      <c r="A31" s="642" t="s">
        <v>874</v>
      </c>
      <c r="B31" s="642"/>
      <c r="C31" s="642"/>
      <c r="D31" s="642"/>
      <c r="E31" s="642"/>
      <c r="F31" s="642"/>
      <c r="G31" s="642"/>
    </row>
    <row r="32" spans="1:7" x14ac:dyDescent="0.25">
      <c r="A32" t="s">
        <v>875</v>
      </c>
    </row>
    <row r="33" spans="1:7" ht="15.75" thickBot="1" x14ac:dyDescent="0.3">
      <c r="A33" t="s">
        <v>876</v>
      </c>
    </row>
    <row r="34" spans="1:7" x14ac:dyDescent="0.25">
      <c r="A34" s="103"/>
      <c r="B34" s="104"/>
      <c r="C34" s="104"/>
      <c r="D34" s="104"/>
      <c r="E34" s="104"/>
      <c r="F34" s="104"/>
      <c r="G34" s="105"/>
    </row>
    <row r="35" spans="1:7" x14ac:dyDescent="0.25">
      <c r="A35" s="106"/>
      <c r="G35" s="107"/>
    </row>
    <row r="36" spans="1:7" x14ac:dyDescent="0.25">
      <c r="A36" s="106"/>
      <c r="G36" s="107"/>
    </row>
    <row r="37" spans="1:7" x14ac:dyDescent="0.25">
      <c r="A37" s="106"/>
      <c r="G37" s="107"/>
    </row>
    <row r="38" spans="1:7" x14ac:dyDescent="0.25">
      <c r="A38" s="106"/>
      <c r="G38" s="107"/>
    </row>
    <row r="39" spans="1:7" x14ac:dyDescent="0.25">
      <c r="A39" s="106"/>
      <c r="G39" s="107"/>
    </row>
    <row r="40" spans="1:7" x14ac:dyDescent="0.25">
      <c r="A40" s="106"/>
      <c r="G40" s="107"/>
    </row>
    <row r="41" spans="1:7" x14ac:dyDescent="0.25">
      <c r="A41" s="106"/>
      <c r="G41" s="107"/>
    </row>
    <row r="42" spans="1:7" x14ac:dyDescent="0.25">
      <c r="A42" s="106"/>
      <c r="G42" s="107"/>
    </row>
    <row r="43" spans="1:7" x14ac:dyDescent="0.25">
      <c r="A43" s="106"/>
      <c r="G43" s="107"/>
    </row>
    <row r="44" spans="1:7" x14ac:dyDescent="0.25">
      <c r="A44" s="106"/>
      <c r="G44" s="107"/>
    </row>
    <row r="45" spans="1:7" x14ac:dyDescent="0.25">
      <c r="A45" s="106"/>
      <c r="G45" s="107"/>
    </row>
    <row r="46" spans="1:7" x14ac:dyDescent="0.25">
      <c r="A46" s="106"/>
      <c r="G46" s="107"/>
    </row>
    <row r="47" spans="1:7" x14ac:dyDescent="0.25">
      <c r="A47" s="106"/>
      <c r="G47" s="107"/>
    </row>
    <row r="48" spans="1:7" x14ac:dyDescent="0.25">
      <c r="A48" s="106"/>
      <c r="G48" s="107"/>
    </row>
    <row r="49" spans="1:7" x14ac:dyDescent="0.25">
      <c r="A49" s="106"/>
      <c r="G49" s="107"/>
    </row>
    <row r="50" spans="1:7" ht="15.75" thickBot="1" x14ac:dyDescent="0.3">
      <c r="A50" s="108"/>
      <c r="B50" s="109"/>
      <c r="C50" s="109"/>
      <c r="D50" s="109"/>
      <c r="E50" s="109"/>
      <c r="F50" s="109"/>
      <c r="G50" s="110"/>
    </row>
    <row r="52" spans="1:7" x14ac:dyDescent="0.25">
      <c r="A52" s="10" t="s">
        <v>877</v>
      </c>
    </row>
    <row r="54" spans="1:7" x14ac:dyDescent="0.25">
      <c r="A54" t="s">
        <v>878</v>
      </c>
      <c r="B54" s="381">
        <f>F7</f>
        <v>24958</v>
      </c>
      <c r="C54" s="488" t="s">
        <v>879</v>
      </c>
      <c r="D54" s="10"/>
    </row>
    <row r="55" spans="1:7" x14ac:dyDescent="0.25">
      <c r="A55" t="s">
        <v>880</v>
      </c>
      <c r="B55" s="381">
        <f>F8</f>
        <v>25.75</v>
      </c>
      <c r="C55" s="488" t="s">
        <v>881</v>
      </c>
      <c r="D55" s="10"/>
    </row>
    <row r="56" spans="1:7" x14ac:dyDescent="0.25">
      <c r="A56" t="s">
        <v>882</v>
      </c>
      <c r="B56" s="381">
        <f>C7</f>
        <v>62.25</v>
      </c>
      <c r="C56" s="65" t="s">
        <v>883</v>
      </c>
      <c r="D56" s="489">
        <f>B54/(B56-B55)</f>
        <v>683.78082191780823</v>
      </c>
    </row>
    <row r="57" spans="1:7" x14ac:dyDescent="0.25">
      <c r="C57" s="65" t="s">
        <v>884</v>
      </c>
      <c r="D57" s="10" t="str">
        <f>"ab "&amp;ROUNDUP(D56,0)&amp;" Stück wird ein Gewinn erzielt."</f>
        <v>ab 684 Stück wird ein Gewinn erzielt.</v>
      </c>
    </row>
  </sheetData>
  <mergeCells count="4">
    <mergeCell ref="A3:F3"/>
    <mergeCell ref="A29:G29"/>
    <mergeCell ref="A30:G30"/>
    <mergeCell ref="A31:G31"/>
  </mergeCells>
  <conditionalFormatting sqref="H9:K10">
    <cfRule type="expression" dxfId="0" priority="1">
      <formula>$H$8="x"</formula>
    </cfRule>
  </conditionalFormatting>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Q89"/>
  <sheetViews>
    <sheetView workbookViewId="0"/>
  </sheetViews>
  <sheetFormatPr baseColWidth="10" defaultRowHeight="15" x14ac:dyDescent="0.25"/>
  <cols>
    <col min="4" max="4" width="15.28515625" customWidth="1"/>
  </cols>
  <sheetData>
    <row r="3" spans="2:12" ht="18.75" x14ac:dyDescent="0.3">
      <c r="B3" s="522" t="s">
        <v>1081</v>
      </c>
    </row>
    <row r="6" spans="2:12" ht="18.75" x14ac:dyDescent="0.3">
      <c r="B6" s="603" t="s">
        <v>1082</v>
      </c>
      <c r="C6" s="527"/>
      <c r="D6" s="527"/>
      <c r="J6" s="603" t="s">
        <v>1103</v>
      </c>
      <c r="K6" s="527"/>
      <c r="L6" s="527"/>
    </row>
    <row r="7" spans="2:12" x14ac:dyDescent="0.25">
      <c r="B7" s="9" t="s">
        <v>1083</v>
      </c>
      <c r="J7" s="9" t="s">
        <v>1104</v>
      </c>
    </row>
    <row r="9" spans="2:12" x14ac:dyDescent="0.25">
      <c r="B9" s="10" t="s">
        <v>1085</v>
      </c>
      <c r="J9" s="10" t="s">
        <v>1105</v>
      </c>
    </row>
    <row r="10" spans="2:12" x14ac:dyDescent="0.25">
      <c r="B10" s="9" t="s">
        <v>1084</v>
      </c>
      <c r="J10" s="9" t="s">
        <v>1106</v>
      </c>
    </row>
    <row r="11" spans="2:12" x14ac:dyDescent="0.25">
      <c r="B11" s="9" t="s">
        <v>1107</v>
      </c>
      <c r="J11" s="9" t="s">
        <v>1108</v>
      </c>
    </row>
    <row r="12" spans="2:12" x14ac:dyDescent="0.25">
      <c r="B12" s="9" t="s">
        <v>1086</v>
      </c>
      <c r="J12" s="9" t="s">
        <v>1111</v>
      </c>
    </row>
    <row r="14" spans="2:12" x14ac:dyDescent="0.25">
      <c r="B14" s="10" t="s">
        <v>423</v>
      </c>
      <c r="J14" s="10" t="s">
        <v>423</v>
      </c>
    </row>
    <row r="15" spans="2:12" x14ac:dyDescent="0.25">
      <c r="B15" s="9" t="s">
        <v>1087</v>
      </c>
      <c r="J15" s="9" t="s">
        <v>1231</v>
      </c>
    </row>
    <row r="16" spans="2:12" x14ac:dyDescent="0.25">
      <c r="B16" s="9" t="s">
        <v>1230</v>
      </c>
      <c r="J16" s="9" t="s">
        <v>1232</v>
      </c>
    </row>
    <row r="17" spans="2:14" x14ac:dyDescent="0.25">
      <c r="B17" s="9" t="s">
        <v>1089</v>
      </c>
      <c r="J17" s="9" t="s">
        <v>1110</v>
      </c>
    </row>
    <row r="18" spans="2:14" x14ac:dyDescent="0.25">
      <c r="E18" s="610" t="s">
        <v>1146</v>
      </c>
      <c r="M18" s="610" t="s">
        <v>1146</v>
      </c>
    </row>
    <row r="19" spans="2:14" x14ac:dyDescent="0.25">
      <c r="B19" s="160" t="s">
        <v>1090</v>
      </c>
      <c r="C19" s="160" t="s">
        <v>1093</v>
      </c>
      <c r="D19" s="160" t="s">
        <v>1026</v>
      </c>
      <c r="E19" s="610" t="s">
        <v>1026</v>
      </c>
      <c r="J19" s="160" t="s">
        <v>1090</v>
      </c>
      <c r="K19" s="160" t="s">
        <v>1093</v>
      </c>
      <c r="L19" s="160" t="s">
        <v>1026</v>
      </c>
      <c r="M19" s="610" t="s">
        <v>1026</v>
      </c>
    </row>
    <row r="20" spans="2:14" x14ac:dyDescent="0.25">
      <c r="B20" s="283" t="s">
        <v>1091</v>
      </c>
      <c r="C20" s="283" t="s">
        <v>1094</v>
      </c>
      <c r="D20" s="578" t="s">
        <v>941</v>
      </c>
      <c r="E20" s="611" t="b">
        <f t="shared" ref="E20:E25" si="0">AND(B20="mann",C20="Fußball")</f>
        <v>1</v>
      </c>
      <c r="J20" s="283" t="s">
        <v>1091</v>
      </c>
      <c r="K20" s="283" t="s">
        <v>1094</v>
      </c>
      <c r="L20" s="578" t="s">
        <v>941</v>
      </c>
      <c r="M20" s="611" t="b">
        <f t="shared" ref="M20:M25" si="1">OR(J20="Frau",K20="Handball")</f>
        <v>0</v>
      </c>
    </row>
    <row r="21" spans="2:14" x14ac:dyDescent="0.25">
      <c r="B21" s="283" t="s">
        <v>1092</v>
      </c>
      <c r="C21" s="283" t="s">
        <v>1095</v>
      </c>
      <c r="D21" s="578" t="s">
        <v>941</v>
      </c>
      <c r="E21" s="611" t="b">
        <f t="shared" si="0"/>
        <v>0</v>
      </c>
      <c r="J21" s="283" t="s">
        <v>1092</v>
      </c>
      <c r="K21" s="283" t="s">
        <v>1095</v>
      </c>
      <c r="L21" s="578" t="s">
        <v>941</v>
      </c>
      <c r="M21" s="611" t="b">
        <f t="shared" si="1"/>
        <v>1</v>
      </c>
    </row>
    <row r="22" spans="2:14" x14ac:dyDescent="0.25">
      <c r="B22" s="283" t="s">
        <v>1091</v>
      </c>
      <c r="C22" s="283" t="s">
        <v>1094</v>
      </c>
      <c r="D22" s="578" t="s">
        <v>941</v>
      </c>
      <c r="E22" s="611" t="b">
        <f t="shared" si="0"/>
        <v>1</v>
      </c>
      <c r="J22" s="283" t="s">
        <v>1091</v>
      </c>
      <c r="K22" s="283" t="s">
        <v>1094</v>
      </c>
      <c r="L22" s="578" t="s">
        <v>941</v>
      </c>
      <c r="M22" s="611" t="b">
        <f t="shared" si="1"/>
        <v>0</v>
      </c>
    </row>
    <row r="23" spans="2:14" x14ac:dyDescent="0.25">
      <c r="B23" s="283" t="s">
        <v>1092</v>
      </c>
      <c r="C23" s="283" t="s">
        <v>1094</v>
      </c>
      <c r="D23" s="578" t="s">
        <v>941</v>
      </c>
      <c r="E23" s="611" t="b">
        <f t="shared" si="0"/>
        <v>0</v>
      </c>
      <c r="J23" s="283" t="s">
        <v>1092</v>
      </c>
      <c r="K23" s="283" t="s">
        <v>1094</v>
      </c>
      <c r="L23" s="578" t="s">
        <v>941</v>
      </c>
      <c r="M23" s="611" t="b">
        <f t="shared" si="1"/>
        <v>1</v>
      </c>
    </row>
    <row r="24" spans="2:14" x14ac:dyDescent="0.25">
      <c r="B24" s="283" t="s">
        <v>1091</v>
      </c>
      <c r="C24" s="283" t="s">
        <v>1095</v>
      </c>
      <c r="D24" s="578" t="s">
        <v>941</v>
      </c>
      <c r="E24" s="611" t="b">
        <f t="shared" si="0"/>
        <v>0</v>
      </c>
      <c r="J24" s="283" t="s">
        <v>1091</v>
      </c>
      <c r="K24" s="283" t="s">
        <v>1095</v>
      </c>
      <c r="L24" s="578" t="s">
        <v>941</v>
      </c>
      <c r="M24" s="611" t="b">
        <f t="shared" si="1"/>
        <v>1</v>
      </c>
    </row>
    <row r="25" spans="2:14" x14ac:dyDescent="0.25">
      <c r="B25" s="283" t="s">
        <v>1092</v>
      </c>
      <c r="C25" s="283" t="s">
        <v>1096</v>
      </c>
      <c r="D25" s="578" t="s">
        <v>941</v>
      </c>
      <c r="E25" s="611" t="b">
        <f t="shared" si="0"/>
        <v>0</v>
      </c>
      <c r="J25" s="283" t="s">
        <v>1092</v>
      </c>
      <c r="K25" s="283" t="s">
        <v>1096</v>
      </c>
      <c r="L25" s="578" t="s">
        <v>941</v>
      </c>
      <c r="M25" s="611" t="b">
        <f t="shared" si="1"/>
        <v>1</v>
      </c>
    </row>
    <row r="27" spans="2:14" x14ac:dyDescent="0.25">
      <c r="B27" s="426" t="s">
        <v>1290</v>
      </c>
      <c r="J27" s="426" t="s">
        <v>1290</v>
      </c>
    </row>
    <row r="28" spans="2:14" x14ac:dyDescent="0.25">
      <c r="B28" s="9" t="s">
        <v>1097</v>
      </c>
      <c r="J28" s="9" t="s">
        <v>1112</v>
      </c>
    </row>
    <row r="29" spans="2:14" x14ac:dyDescent="0.25">
      <c r="E29" s="610" t="s">
        <v>1146</v>
      </c>
      <c r="M29" s="610" t="s">
        <v>1146</v>
      </c>
    </row>
    <row r="30" spans="2:14" x14ac:dyDescent="0.25">
      <c r="B30" s="160" t="s">
        <v>1090</v>
      </c>
      <c r="C30" s="160" t="s">
        <v>1093</v>
      </c>
      <c r="D30" s="160" t="s">
        <v>1026</v>
      </c>
      <c r="E30" s="610" t="s">
        <v>1026</v>
      </c>
      <c r="F30" s="426" t="s">
        <v>1287</v>
      </c>
      <c r="J30" s="160" t="s">
        <v>1090</v>
      </c>
      <c r="K30" s="160" t="s">
        <v>1093</v>
      </c>
      <c r="L30" s="160" t="s">
        <v>1026</v>
      </c>
      <c r="M30" s="610" t="s">
        <v>1026</v>
      </c>
      <c r="N30" s="426" t="s">
        <v>1287</v>
      </c>
    </row>
    <row r="31" spans="2:14" x14ac:dyDescent="0.25">
      <c r="B31" s="283" t="s">
        <v>1091</v>
      </c>
      <c r="C31" s="283" t="s">
        <v>1094</v>
      </c>
      <c r="D31" s="578" t="s">
        <v>941</v>
      </c>
      <c r="E31" s="606" t="str">
        <f t="shared" ref="E31:E36" si="2">IF(AND(B31="mann",C31="Fußball"),"Fußballfan","")</f>
        <v>Fußballfan</v>
      </c>
      <c r="F31" s="39" t="b">
        <f>E20</f>
        <v>1</v>
      </c>
      <c r="J31" s="283" t="s">
        <v>1091</v>
      </c>
      <c r="K31" s="283" t="s">
        <v>1094</v>
      </c>
      <c r="L31" s="578" t="s">
        <v>941</v>
      </c>
      <c r="M31" s="606" t="str">
        <f t="shared" ref="M31:M36" si="3">IF(OR(J31="Frau",K31="Handball"),"Einladung","")</f>
        <v/>
      </c>
      <c r="N31" t="b">
        <f t="shared" ref="N31:N36" si="4">M20</f>
        <v>0</v>
      </c>
    </row>
    <row r="32" spans="2:14" x14ac:dyDescent="0.25">
      <c r="B32" s="283" t="s">
        <v>1092</v>
      </c>
      <c r="C32" s="283" t="s">
        <v>1095</v>
      </c>
      <c r="D32" s="578" t="s">
        <v>941</v>
      </c>
      <c r="E32" s="606" t="str">
        <f t="shared" si="2"/>
        <v/>
      </c>
      <c r="F32" s="33" t="b">
        <f t="shared" ref="F32:F36" si="5">E21</f>
        <v>0</v>
      </c>
      <c r="J32" s="283" t="s">
        <v>1092</v>
      </c>
      <c r="K32" s="283" t="s">
        <v>1095</v>
      </c>
      <c r="L32" s="578" t="s">
        <v>941</v>
      </c>
      <c r="M32" s="606" t="str">
        <f t="shared" si="3"/>
        <v>Einladung</v>
      </c>
      <c r="N32" t="b">
        <f t="shared" si="4"/>
        <v>1</v>
      </c>
    </row>
    <row r="33" spans="2:17" x14ac:dyDescent="0.25">
      <c r="B33" s="283" t="s">
        <v>1091</v>
      </c>
      <c r="C33" s="283" t="s">
        <v>1094</v>
      </c>
      <c r="D33" s="578" t="s">
        <v>941</v>
      </c>
      <c r="E33" s="606" t="str">
        <f t="shared" si="2"/>
        <v>Fußballfan</v>
      </c>
      <c r="F33" s="33" t="b">
        <f t="shared" si="5"/>
        <v>1</v>
      </c>
      <c r="J33" s="283" t="s">
        <v>1091</v>
      </c>
      <c r="K33" s="283" t="s">
        <v>1094</v>
      </c>
      <c r="L33" s="578" t="s">
        <v>941</v>
      </c>
      <c r="M33" s="606" t="str">
        <f t="shared" si="3"/>
        <v/>
      </c>
      <c r="N33" t="b">
        <f t="shared" si="4"/>
        <v>0</v>
      </c>
    </row>
    <row r="34" spans="2:17" x14ac:dyDescent="0.25">
      <c r="B34" s="283" t="s">
        <v>1092</v>
      </c>
      <c r="C34" s="283" t="s">
        <v>1098</v>
      </c>
      <c r="D34" s="578" t="s">
        <v>941</v>
      </c>
      <c r="E34" s="606" t="str">
        <f t="shared" si="2"/>
        <v/>
      </c>
      <c r="F34" s="33" t="b">
        <f t="shared" si="5"/>
        <v>0</v>
      </c>
      <c r="J34" s="283" t="s">
        <v>1092</v>
      </c>
      <c r="K34" s="283" t="s">
        <v>1098</v>
      </c>
      <c r="L34" s="578" t="s">
        <v>941</v>
      </c>
      <c r="M34" s="606" t="str">
        <f t="shared" si="3"/>
        <v>Einladung</v>
      </c>
      <c r="N34" t="b">
        <f t="shared" si="4"/>
        <v>1</v>
      </c>
    </row>
    <row r="35" spans="2:17" x14ac:dyDescent="0.25">
      <c r="B35" s="283" t="s">
        <v>1091</v>
      </c>
      <c r="C35" s="283" t="s">
        <v>1095</v>
      </c>
      <c r="D35" s="578" t="s">
        <v>941</v>
      </c>
      <c r="E35" s="606" t="str">
        <f t="shared" si="2"/>
        <v/>
      </c>
      <c r="F35" s="33" t="b">
        <f t="shared" si="5"/>
        <v>0</v>
      </c>
      <c r="J35" s="283" t="s">
        <v>1091</v>
      </c>
      <c r="K35" s="283" t="s">
        <v>1095</v>
      </c>
      <c r="L35" s="578" t="s">
        <v>941</v>
      </c>
      <c r="M35" s="606" t="str">
        <f t="shared" si="3"/>
        <v>Einladung</v>
      </c>
      <c r="N35" t="b">
        <f t="shared" si="4"/>
        <v>1</v>
      </c>
    </row>
    <row r="36" spans="2:17" x14ac:dyDescent="0.25">
      <c r="B36" s="283" t="s">
        <v>1092</v>
      </c>
      <c r="C36" s="283" t="s">
        <v>1096</v>
      </c>
      <c r="D36" s="578" t="s">
        <v>941</v>
      </c>
      <c r="E36" s="606" t="str">
        <f t="shared" si="2"/>
        <v/>
      </c>
      <c r="F36" s="33" t="b">
        <f t="shared" si="5"/>
        <v>0</v>
      </c>
      <c r="J36" s="283" t="s">
        <v>1092</v>
      </c>
      <c r="K36" s="283" t="s">
        <v>1096</v>
      </c>
      <c r="L36" s="578" t="s">
        <v>941</v>
      </c>
      <c r="M36" s="606" t="str">
        <f t="shared" si="3"/>
        <v>Einladung</v>
      </c>
      <c r="N36" t="b">
        <f t="shared" si="4"/>
        <v>1</v>
      </c>
    </row>
    <row r="38" spans="2:17" x14ac:dyDescent="0.25">
      <c r="B38" s="604" t="s">
        <v>1099</v>
      </c>
      <c r="C38" s="527"/>
      <c r="D38" s="527"/>
      <c r="E38" s="527"/>
      <c r="F38" s="527"/>
      <c r="G38" s="527"/>
      <c r="H38" s="527"/>
      <c r="J38" s="604" t="s">
        <v>1113</v>
      </c>
      <c r="K38" s="527"/>
      <c r="L38" s="527"/>
      <c r="M38" s="527"/>
      <c r="N38" s="527"/>
      <c r="O38" s="527"/>
      <c r="P38" s="527"/>
      <c r="Q38" s="527"/>
    </row>
    <row r="39" spans="2:17" x14ac:dyDescent="0.25">
      <c r="B39" s="605" t="s">
        <v>1032</v>
      </c>
      <c r="C39" s="527"/>
      <c r="D39" s="527"/>
      <c r="E39" s="527"/>
      <c r="F39" s="527"/>
      <c r="G39" s="527"/>
      <c r="H39" s="527"/>
      <c r="J39" s="605" t="s">
        <v>1032</v>
      </c>
      <c r="K39" s="527"/>
      <c r="L39" s="527"/>
      <c r="M39" s="527"/>
      <c r="N39" s="527"/>
      <c r="O39" s="527"/>
      <c r="P39" s="527"/>
      <c r="Q39" s="527"/>
    </row>
    <row r="40" spans="2:17" x14ac:dyDescent="0.25">
      <c r="B40" s="605" t="s">
        <v>1100</v>
      </c>
      <c r="C40" s="527"/>
      <c r="D40" s="527"/>
      <c r="E40" s="527"/>
      <c r="F40" s="527"/>
      <c r="G40" s="527"/>
      <c r="H40" s="527"/>
      <c r="J40" s="605" t="s">
        <v>1114</v>
      </c>
      <c r="K40" s="527"/>
      <c r="L40" s="527"/>
      <c r="M40" s="527"/>
      <c r="N40" s="527"/>
      <c r="O40" s="527"/>
      <c r="P40" s="527"/>
      <c r="Q40" s="527"/>
    </row>
    <row r="41" spans="2:17" x14ac:dyDescent="0.25">
      <c r="B41" s="527" t="s">
        <v>1101</v>
      </c>
      <c r="C41" s="527"/>
      <c r="D41" s="527"/>
      <c r="E41" s="527"/>
      <c r="F41" s="527"/>
      <c r="G41" s="527"/>
      <c r="H41" s="527"/>
      <c r="J41" s="527" t="s">
        <v>1101</v>
      </c>
      <c r="K41" s="527"/>
      <c r="L41" s="527"/>
      <c r="M41" s="527"/>
      <c r="N41" s="527"/>
      <c r="O41" s="527"/>
      <c r="P41" s="527"/>
      <c r="Q41" s="527"/>
    </row>
    <row r="43" spans="2:17" x14ac:dyDescent="0.25">
      <c r="B43" s="10" t="s">
        <v>1102</v>
      </c>
      <c r="J43" s="10" t="s">
        <v>1102</v>
      </c>
    </row>
    <row r="44" spans="2:17" x14ac:dyDescent="0.25">
      <c r="B44" t="s">
        <v>1116</v>
      </c>
      <c r="J44" t="s">
        <v>1115</v>
      </c>
    </row>
    <row r="47" spans="2:17" x14ac:dyDescent="0.25">
      <c r="J47" s="10" t="s">
        <v>1076</v>
      </c>
    </row>
    <row r="48" spans="2:17" x14ac:dyDescent="0.25">
      <c r="B48" s="10" t="s">
        <v>1286</v>
      </c>
      <c r="J48" s="10" t="s">
        <v>1117</v>
      </c>
    </row>
    <row r="49" spans="2:10" x14ac:dyDescent="0.25">
      <c r="B49" t="s">
        <v>1118</v>
      </c>
      <c r="J49" t="s">
        <v>1118</v>
      </c>
    </row>
    <row r="50" spans="2:10" x14ac:dyDescent="0.25">
      <c r="B50" t="s">
        <v>1119</v>
      </c>
      <c r="J50" t="s">
        <v>1119</v>
      </c>
    </row>
    <row r="51" spans="2:10" x14ac:dyDescent="0.25">
      <c r="B51" t="s">
        <v>1088</v>
      </c>
      <c r="J51" t="s">
        <v>1088</v>
      </c>
    </row>
    <row r="52" spans="2:10" x14ac:dyDescent="0.25">
      <c r="B52" t="s">
        <v>1089</v>
      </c>
      <c r="J52" t="s">
        <v>1089</v>
      </c>
    </row>
    <row r="53" spans="2:10" x14ac:dyDescent="0.25">
      <c r="B53" t="s">
        <v>1120</v>
      </c>
      <c r="J53" t="s">
        <v>1120</v>
      </c>
    </row>
    <row r="54" spans="2:10" x14ac:dyDescent="0.25">
      <c r="B54" t="s">
        <v>1109</v>
      </c>
      <c r="J54" t="s">
        <v>1109</v>
      </c>
    </row>
    <row r="55" spans="2:10" x14ac:dyDescent="0.25">
      <c r="B55" t="s">
        <v>1121</v>
      </c>
      <c r="J55" t="s">
        <v>1121</v>
      </c>
    </row>
    <row r="57" spans="2:10" x14ac:dyDescent="0.25">
      <c r="B57" t="s">
        <v>1122</v>
      </c>
      <c r="J57" t="s">
        <v>1122</v>
      </c>
    </row>
    <row r="58" spans="2:10" x14ac:dyDescent="0.25">
      <c r="B58" t="s">
        <v>1123</v>
      </c>
      <c r="J58" t="s">
        <v>1123</v>
      </c>
    </row>
    <row r="60" spans="2:10" x14ac:dyDescent="0.25">
      <c r="B60" t="s">
        <v>1295</v>
      </c>
      <c r="J60" t="s">
        <v>1295</v>
      </c>
    </row>
    <row r="61" spans="2:10" x14ac:dyDescent="0.25">
      <c r="B61" t="s">
        <v>1124</v>
      </c>
      <c r="J61" t="s">
        <v>1124</v>
      </c>
    </row>
    <row r="62" spans="2:10" x14ac:dyDescent="0.25">
      <c r="B62" s="64" t="s">
        <v>1126</v>
      </c>
      <c r="J62" s="64" t="s">
        <v>1126</v>
      </c>
    </row>
    <row r="63" spans="2:10" x14ac:dyDescent="0.25">
      <c r="B63" t="s">
        <v>520</v>
      </c>
      <c r="J63" t="s">
        <v>520</v>
      </c>
    </row>
    <row r="64" spans="2:10" x14ac:dyDescent="0.25">
      <c r="B64" t="s">
        <v>1125</v>
      </c>
      <c r="J64" t="s">
        <v>1125</v>
      </c>
    </row>
    <row r="65" spans="2:13" x14ac:dyDescent="0.25">
      <c r="B65" s="160" t="s">
        <v>1090</v>
      </c>
      <c r="C65" s="160" t="s">
        <v>1093</v>
      </c>
      <c r="D65" s="160" t="s">
        <v>1026</v>
      </c>
      <c r="J65" s="160" t="s">
        <v>1090</v>
      </c>
      <c r="K65" s="160" t="s">
        <v>1093</v>
      </c>
      <c r="L65" s="160" t="s">
        <v>1026</v>
      </c>
    </row>
    <row r="66" spans="2:13" x14ac:dyDescent="0.25">
      <c r="B66" s="283" t="s">
        <v>1091</v>
      </c>
      <c r="C66" s="283" t="s">
        <v>1094</v>
      </c>
      <c r="D66" s="578" t="s">
        <v>941</v>
      </c>
      <c r="J66" s="283" t="s">
        <v>1091</v>
      </c>
      <c r="K66" s="283" t="s">
        <v>1094</v>
      </c>
      <c r="L66" s="606" t="b">
        <f>OR(AND(J66="Mann",K66="Fußball"),AND(J66="Frau",K66="Tennis"))</f>
        <v>1</v>
      </c>
    </row>
    <row r="67" spans="2:13" x14ac:dyDescent="0.25">
      <c r="B67" s="283" t="s">
        <v>1092</v>
      </c>
      <c r="C67" s="283" t="s">
        <v>1095</v>
      </c>
      <c r="D67" s="578" t="s">
        <v>941</v>
      </c>
      <c r="J67" s="283" t="s">
        <v>1092</v>
      </c>
      <c r="K67" s="283" t="s">
        <v>1095</v>
      </c>
      <c r="L67" s="606" t="b">
        <f t="shared" ref="L67:L71" si="6">OR(AND(J67="Mann",K67="Fußball"),AND(J67="Frau",K67="Tennis"))</f>
        <v>0</v>
      </c>
    </row>
    <row r="68" spans="2:13" x14ac:dyDescent="0.25">
      <c r="B68" s="283" t="s">
        <v>1091</v>
      </c>
      <c r="C68" s="283" t="s">
        <v>1094</v>
      </c>
      <c r="D68" s="578" t="s">
        <v>941</v>
      </c>
      <c r="J68" s="283" t="s">
        <v>1091</v>
      </c>
      <c r="K68" s="283" t="s">
        <v>1094</v>
      </c>
      <c r="L68" s="606" t="b">
        <f t="shared" si="6"/>
        <v>1</v>
      </c>
    </row>
    <row r="69" spans="2:13" x14ac:dyDescent="0.25">
      <c r="B69" s="283" t="s">
        <v>1092</v>
      </c>
      <c r="C69" s="283" t="s">
        <v>1098</v>
      </c>
      <c r="D69" s="578" t="s">
        <v>941</v>
      </c>
      <c r="J69" s="283" t="s">
        <v>1092</v>
      </c>
      <c r="K69" s="283" t="s">
        <v>1098</v>
      </c>
      <c r="L69" s="606" t="b">
        <f t="shared" si="6"/>
        <v>0</v>
      </c>
    </row>
    <row r="70" spans="2:13" x14ac:dyDescent="0.25">
      <c r="B70" s="283" t="s">
        <v>1091</v>
      </c>
      <c r="C70" s="283" t="s">
        <v>1095</v>
      </c>
      <c r="D70" s="578" t="s">
        <v>941</v>
      </c>
      <c r="J70" s="283" t="s">
        <v>1091</v>
      </c>
      <c r="K70" s="283" t="s">
        <v>1095</v>
      </c>
      <c r="L70" s="606" t="b">
        <f t="shared" si="6"/>
        <v>0</v>
      </c>
    </row>
    <row r="71" spans="2:13" x14ac:dyDescent="0.25">
      <c r="B71" s="283" t="s">
        <v>1092</v>
      </c>
      <c r="C71" s="283" t="s">
        <v>1096</v>
      </c>
      <c r="D71" s="578" t="s">
        <v>941</v>
      </c>
      <c r="J71" s="283" t="s">
        <v>1092</v>
      </c>
      <c r="K71" s="283" t="s">
        <v>1096</v>
      </c>
      <c r="L71" s="606" t="b">
        <f t="shared" si="6"/>
        <v>1</v>
      </c>
    </row>
    <row r="73" spans="2:13" x14ac:dyDescent="0.25">
      <c r="B73" s="9" t="s">
        <v>1127</v>
      </c>
      <c r="J73" s="9" t="s">
        <v>1127</v>
      </c>
    </row>
    <row r="74" spans="2:13" x14ac:dyDescent="0.25">
      <c r="B74" s="9" t="s">
        <v>1128</v>
      </c>
      <c r="J74" s="9" t="s">
        <v>1128</v>
      </c>
    </row>
    <row r="76" spans="2:13" x14ac:dyDescent="0.25">
      <c r="B76" s="9" t="s">
        <v>1129</v>
      </c>
      <c r="J76" s="9" t="s">
        <v>1129</v>
      </c>
    </row>
    <row r="77" spans="2:13" x14ac:dyDescent="0.25">
      <c r="B77" s="160" t="s">
        <v>1090</v>
      </c>
      <c r="C77" s="160" t="s">
        <v>1093</v>
      </c>
      <c r="D77" s="160" t="s">
        <v>1026</v>
      </c>
      <c r="J77" s="160" t="s">
        <v>1090</v>
      </c>
      <c r="K77" s="160" t="s">
        <v>1093</v>
      </c>
      <c r="L77" s="160" t="s">
        <v>1026</v>
      </c>
    </row>
    <row r="78" spans="2:13" x14ac:dyDescent="0.25">
      <c r="B78" s="283" t="s">
        <v>1091</v>
      </c>
      <c r="C78" s="283" t="s">
        <v>1094</v>
      </c>
      <c r="D78" s="578" t="s">
        <v>941</v>
      </c>
      <c r="J78" s="283" t="s">
        <v>1091</v>
      </c>
      <c r="K78" s="283" t="s">
        <v>1094</v>
      </c>
      <c r="L78" s="606" t="str">
        <f>IF(OR(AND(J78="Mann",K78="Fußball"),AND(J78="Frau",K78="Tennis")),"Einladung","")</f>
        <v>Einladung</v>
      </c>
      <c r="M78" t="b">
        <f>L66</f>
        <v>1</v>
      </c>
    </row>
    <row r="79" spans="2:13" x14ac:dyDescent="0.25">
      <c r="B79" s="283" t="s">
        <v>1092</v>
      </c>
      <c r="C79" s="283" t="s">
        <v>1095</v>
      </c>
      <c r="D79" s="578" t="s">
        <v>941</v>
      </c>
      <c r="J79" s="283" t="s">
        <v>1092</v>
      </c>
      <c r="K79" s="283" t="s">
        <v>1095</v>
      </c>
      <c r="L79" s="606" t="str">
        <f t="shared" ref="L79:L83" si="7">IF(OR(AND(J79="Mann",K79="Fußball"),AND(J79="Frau",K79="Tennis")),"Einladung","")</f>
        <v/>
      </c>
      <c r="M79" t="b">
        <f t="shared" ref="M79:M83" si="8">L67</f>
        <v>0</v>
      </c>
    </row>
    <row r="80" spans="2:13" x14ac:dyDescent="0.25">
      <c r="B80" s="283" t="s">
        <v>1091</v>
      </c>
      <c r="C80" s="283" t="s">
        <v>1094</v>
      </c>
      <c r="D80" s="578" t="s">
        <v>941</v>
      </c>
      <c r="J80" s="283" t="s">
        <v>1091</v>
      </c>
      <c r="K80" s="283" t="s">
        <v>1094</v>
      </c>
      <c r="L80" s="606" t="str">
        <f t="shared" si="7"/>
        <v>Einladung</v>
      </c>
      <c r="M80" t="b">
        <f t="shared" si="8"/>
        <v>1</v>
      </c>
    </row>
    <row r="81" spans="2:16" x14ac:dyDescent="0.25">
      <c r="B81" s="283" t="s">
        <v>1092</v>
      </c>
      <c r="C81" s="283" t="s">
        <v>1098</v>
      </c>
      <c r="D81" s="578" t="s">
        <v>941</v>
      </c>
      <c r="J81" s="283" t="s">
        <v>1092</v>
      </c>
      <c r="K81" s="283" t="s">
        <v>1098</v>
      </c>
      <c r="L81" s="606" t="str">
        <f t="shared" si="7"/>
        <v/>
      </c>
      <c r="M81" t="b">
        <f t="shared" si="8"/>
        <v>0</v>
      </c>
    </row>
    <row r="82" spans="2:16" x14ac:dyDescent="0.25">
      <c r="B82" s="283" t="s">
        <v>1091</v>
      </c>
      <c r="C82" s="283" t="s">
        <v>1095</v>
      </c>
      <c r="D82" s="578" t="s">
        <v>941</v>
      </c>
      <c r="J82" s="283" t="s">
        <v>1091</v>
      </c>
      <c r="K82" s="283" t="s">
        <v>1095</v>
      </c>
      <c r="L82" s="606" t="str">
        <f t="shared" si="7"/>
        <v/>
      </c>
      <c r="M82" t="b">
        <f t="shared" si="8"/>
        <v>0</v>
      </c>
    </row>
    <row r="83" spans="2:16" x14ac:dyDescent="0.25">
      <c r="B83" s="283" t="s">
        <v>1092</v>
      </c>
      <c r="C83" s="283" t="s">
        <v>1096</v>
      </c>
      <c r="D83" s="578" t="s">
        <v>941</v>
      </c>
      <c r="J83" s="283" t="s">
        <v>1092</v>
      </c>
      <c r="K83" s="283" t="s">
        <v>1096</v>
      </c>
      <c r="L83" s="606" t="str">
        <f t="shared" si="7"/>
        <v>Einladung</v>
      </c>
      <c r="M83" t="b">
        <f t="shared" si="8"/>
        <v>1</v>
      </c>
    </row>
    <row r="85" spans="2:16" x14ac:dyDescent="0.25">
      <c r="J85" s="604" t="s">
        <v>1293</v>
      </c>
      <c r="K85" s="527"/>
      <c r="L85" s="527"/>
      <c r="M85" s="527"/>
      <c r="N85" s="527"/>
      <c r="O85" s="527"/>
      <c r="P85" s="527"/>
    </row>
    <row r="86" spans="2:16" x14ac:dyDescent="0.25">
      <c r="J86" s="604" t="s">
        <v>1294</v>
      </c>
      <c r="K86" s="527"/>
      <c r="L86" s="527"/>
      <c r="M86" s="527"/>
      <c r="N86" s="527"/>
      <c r="O86" s="527"/>
      <c r="P86" s="527"/>
    </row>
    <row r="87" spans="2:16" x14ac:dyDescent="0.25">
      <c r="J87" s="604" t="s">
        <v>1291</v>
      </c>
      <c r="K87" s="527"/>
      <c r="L87" s="527"/>
      <c r="M87" s="527"/>
      <c r="N87" s="527"/>
      <c r="O87" s="527"/>
      <c r="P87" s="527"/>
    </row>
    <row r="88" spans="2:16" x14ac:dyDescent="0.25">
      <c r="J88" s="604" t="s">
        <v>1292</v>
      </c>
      <c r="K88" s="527"/>
      <c r="L88" s="527"/>
      <c r="M88" s="527"/>
      <c r="N88" s="527"/>
      <c r="O88" s="527"/>
      <c r="P88" s="527"/>
    </row>
    <row r="89" spans="2:16" x14ac:dyDescent="0.25">
      <c r="B89" s="9"/>
    </row>
  </sheetData>
  <pageMargins left="0.7" right="0.7" top="0.78740157499999996" bottom="0.78740157499999996"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I28"/>
  <sheetViews>
    <sheetView workbookViewId="0"/>
  </sheetViews>
  <sheetFormatPr baseColWidth="10" defaultColWidth="11.42578125" defaultRowHeight="15" x14ac:dyDescent="0.25"/>
  <cols>
    <col min="2" max="2" width="13.140625" customWidth="1"/>
    <col min="5" max="5" width="15.42578125" customWidth="1"/>
  </cols>
  <sheetData>
    <row r="1" spans="1:9" ht="21" x14ac:dyDescent="0.35">
      <c r="A1" s="162" t="s">
        <v>465</v>
      </c>
      <c r="C1" s="620"/>
      <c r="D1" s="615"/>
      <c r="E1" s="624" t="s">
        <v>1301</v>
      </c>
    </row>
    <row r="2" spans="1:9" x14ac:dyDescent="0.25">
      <c r="F2" s="511">
        <f ca="1">TODAY()</f>
        <v>45262</v>
      </c>
      <c r="G2" s="511">
        <f ca="1">EOMONTH(F2,-1)</f>
        <v>45260</v>
      </c>
    </row>
    <row r="3" spans="1:9" x14ac:dyDescent="0.25">
      <c r="A3" s="300" t="s">
        <v>1221</v>
      </c>
    </row>
    <row r="4" spans="1:9" ht="15.75" thickBot="1" x14ac:dyDescent="0.3"/>
    <row r="5" spans="1:9" ht="34.5" customHeight="1" thickBot="1" x14ac:dyDescent="0.3">
      <c r="A5" s="491" t="s">
        <v>493</v>
      </c>
      <c r="B5" s="492" t="s">
        <v>494</v>
      </c>
      <c r="C5" s="493" t="s">
        <v>495</v>
      </c>
      <c r="D5" s="492" t="s">
        <v>496</v>
      </c>
      <c r="E5" s="492" t="s">
        <v>497</v>
      </c>
      <c r="F5" s="493" t="s">
        <v>498</v>
      </c>
      <c r="G5" s="494" t="s">
        <v>499</v>
      </c>
      <c r="H5" s="495" t="s">
        <v>500</v>
      </c>
    </row>
    <row r="6" spans="1:9" x14ac:dyDescent="0.25">
      <c r="A6" s="166">
        <v>62807</v>
      </c>
      <c r="B6" s="167">
        <v>24009</v>
      </c>
      <c r="C6" s="98">
        <v>3469.9</v>
      </c>
      <c r="D6" s="168">
        <f ca="1">+E6-55</f>
        <v>45205</v>
      </c>
      <c r="E6" s="168">
        <f ca="1">+G2</f>
        <v>45260</v>
      </c>
      <c r="F6" s="169"/>
      <c r="G6" s="75"/>
      <c r="H6" s="170"/>
      <c r="I6" s="165"/>
    </row>
    <row r="7" spans="1:9" x14ac:dyDescent="0.25">
      <c r="A7" s="171">
        <v>62834</v>
      </c>
      <c r="B7" s="39">
        <v>24002</v>
      </c>
      <c r="C7" s="74">
        <v>1407.13</v>
      </c>
      <c r="D7" s="172">
        <f ca="1">+E7-33</f>
        <v>45227</v>
      </c>
      <c r="E7" s="172">
        <f ca="1">+E6</f>
        <v>45260</v>
      </c>
      <c r="F7" s="173"/>
      <c r="G7" s="76"/>
      <c r="H7" s="174"/>
      <c r="I7" s="165"/>
    </row>
    <row r="8" spans="1:9" x14ac:dyDescent="0.25">
      <c r="A8" s="171">
        <v>62945</v>
      </c>
      <c r="B8" s="39">
        <v>24003</v>
      </c>
      <c r="C8" s="74">
        <v>2698.48</v>
      </c>
      <c r="D8" s="172">
        <f ca="1">+E8-15</f>
        <v>45245</v>
      </c>
      <c r="E8" s="172">
        <f ca="1">+E7</f>
        <v>45260</v>
      </c>
      <c r="F8" s="173"/>
      <c r="G8" s="76"/>
      <c r="H8" s="174"/>
      <c r="I8" s="165"/>
    </row>
    <row r="9" spans="1:9" x14ac:dyDescent="0.25">
      <c r="A9" s="175">
        <v>62948</v>
      </c>
      <c r="B9" s="176">
        <v>24008</v>
      </c>
      <c r="C9" s="57">
        <v>8745.43</v>
      </c>
      <c r="D9" s="177">
        <f ca="1">+E9-25</f>
        <v>45235</v>
      </c>
      <c r="E9" s="172">
        <f ca="1">+E8</f>
        <v>45260</v>
      </c>
      <c r="F9" s="173"/>
      <c r="G9" s="77"/>
      <c r="H9" s="178"/>
      <c r="I9" s="165"/>
    </row>
    <row r="10" spans="1:9" ht="15.75" thickBot="1" x14ac:dyDescent="0.3">
      <c r="A10" s="179">
        <v>62951</v>
      </c>
      <c r="B10" s="180">
        <v>24004</v>
      </c>
      <c r="C10" s="78">
        <v>7834.34</v>
      </c>
      <c r="D10" s="181">
        <f ca="1">+E10-40</f>
        <v>45220</v>
      </c>
      <c r="E10" s="181">
        <f ca="1">+E9</f>
        <v>45260</v>
      </c>
      <c r="F10" s="182"/>
      <c r="G10" s="79"/>
      <c r="H10" s="183"/>
      <c r="I10" s="165"/>
    </row>
    <row r="12" spans="1:9" ht="15.75" thickBot="1" x14ac:dyDescent="0.3"/>
    <row r="13" spans="1:9" ht="15.75" thickBot="1" x14ac:dyDescent="0.3">
      <c r="B13" s="696" t="s">
        <v>501</v>
      </c>
      <c r="C13" s="697"/>
      <c r="D13" s="698"/>
    </row>
    <row r="14" spans="1:9" ht="15.75" thickBot="1" x14ac:dyDescent="0.3">
      <c r="B14" s="496" t="s">
        <v>559</v>
      </c>
      <c r="C14" s="496" t="s">
        <v>498</v>
      </c>
      <c r="D14" s="496" t="s">
        <v>502</v>
      </c>
    </row>
    <row r="15" spans="1:9" x14ac:dyDescent="0.25">
      <c r="B15" s="184" t="s">
        <v>556</v>
      </c>
      <c r="C15" s="185" t="s">
        <v>503</v>
      </c>
      <c r="D15" s="499">
        <v>3</v>
      </c>
    </row>
    <row r="16" spans="1:9" x14ac:dyDescent="0.25">
      <c r="B16" s="184" t="s">
        <v>557</v>
      </c>
      <c r="C16" s="185" t="s">
        <v>504</v>
      </c>
      <c r="D16" s="96">
        <v>5</v>
      </c>
    </row>
    <row r="17" spans="1:8" ht="15.75" thickBot="1" x14ac:dyDescent="0.3">
      <c r="B17" s="497" t="s">
        <v>558</v>
      </c>
      <c r="C17" s="498" t="s">
        <v>505</v>
      </c>
      <c r="D17" s="97">
        <v>7</v>
      </c>
      <c r="F17" s="165"/>
      <c r="G17" s="68"/>
    </row>
    <row r="20" spans="1:8" x14ac:dyDescent="0.25">
      <c r="A20" t="s">
        <v>560</v>
      </c>
    </row>
    <row r="21" spans="1:8" x14ac:dyDescent="0.25">
      <c r="A21" t="s">
        <v>561</v>
      </c>
    </row>
    <row r="22" spans="1:8" x14ac:dyDescent="0.25">
      <c r="A22" t="s">
        <v>562</v>
      </c>
    </row>
    <row r="23" spans="1:8" x14ac:dyDescent="0.25">
      <c r="A23" t="s">
        <v>563</v>
      </c>
    </row>
    <row r="24" spans="1:8" x14ac:dyDescent="0.25">
      <c r="A24" t="s">
        <v>564</v>
      </c>
    </row>
    <row r="26" spans="1:8" x14ac:dyDescent="0.25">
      <c r="A26" t="s">
        <v>886</v>
      </c>
    </row>
    <row r="27" spans="1:8" ht="30.75" customHeight="1" x14ac:dyDescent="0.25">
      <c r="A27" s="661" t="s">
        <v>887</v>
      </c>
      <c r="B27" s="661"/>
      <c r="C27" s="661"/>
      <c r="D27" s="661"/>
      <c r="E27" s="661"/>
      <c r="F27" s="661"/>
      <c r="G27" s="661"/>
      <c r="H27" s="661"/>
    </row>
    <row r="28" spans="1:8" x14ac:dyDescent="0.25">
      <c r="A28" t="s">
        <v>888</v>
      </c>
    </row>
  </sheetData>
  <mergeCells count="2">
    <mergeCell ref="B13:D13"/>
    <mergeCell ref="A27:H27"/>
  </mergeCells>
  <pageMargins left="0.70866141732283472" right="0.70866141732283472" top="0.78740157480314965" bottom="0.78740157480314965" header="0.31496062992125984" footer="0.31496062992125984"/>
  <pageSetup paperSize="9"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J28"/>
  <sheetViews>
    <sheetView workbookViewId="0">
      <selection activeCell="I14" sqref="I14"/>
    </sheetView>
  </sheetViews>
  <sheetFormatPr baseColWidth="10" defaultColWidth="11.42578125" defaultRowHeight="15" x14ac:dyDescent="0.25"/>
  <cols>
    <col min="2" max="2" width="13.140625" customWidth="1"/>
    <col min="5" max="6" width="15.42578125" customWidth="1"/>
  </cols>
  <sheetData>
    <row r="1" spans="1:10" ht="21" x14ac:dyDescent="0.35">
      <c r="A1" s="162" t="s">
        <v>465</v>
      </c>
      <c r="C1" s="620"/>
      <c r="D1" s="615"/>
      <c r="E1" s="624" t="s">
        <v>1302</v>
      </c>
    </row>
    <row r="2" spans="1:10" x14ac:dyDescent="0.25">
      <c r="G2" s="511">
        <f ca="1">TODAY()</f>
        <v>45262</v>
      </c>
      <c r="H2" s="511">
        <f ca="1">EOMONTH(G2,-1)</f>
        <v>45260</v>
      </c>
    </row>
    <row r="3" spans="1:10" x14ac:dyDescent="0.25">
      <c r="A3" s="300" t="s">
        <v>1221</v>
      </c>
    </row>
    <row r="4" spans="1:10" ht="15.75" thickBot="1" x14ac:dyDescent="0.3"/>
    <row r="5" spans="1:10" ht="34.5" customHeight="1" thickBot="1" x14ac:dyDescent="0.3">
      <c r="A5" s="491" t="s">
        <v>493</v>
      </c>
      <c r="B5" s="492" t="s">
        <v>494</v>
      </c>
      <c r="C5" s="493" t="s">
        <v>495</v>
      </c>
      <c r="D5" s="492" t="s">
        <v>496</v>
      </c>
      <c r="E5" s="492" t="s">
        <v>497</v>
      </c>
      <c r="F5" s="493" t="s">
        <v>885</v>
      </c>
      <c r="G5" s="493" t="s">
        <v>498</v>
      </c>
      <c r="H5" s="494" t="s">
        <v>499</v>
      </c>
      <c r="I5" s="495" t="s">
        <v>500</v>
      </c>
    </row>
    <row r="6" spans="1:10" x14ac:dyDescent="0.25">
      <c r="A6" s="166">
        <v>62807</v>
      </c>
      <c r="B6" s="167">
        <v>24009</v>
      </c>
      <c r="C6" s="98">
        <v>3469.9</v>
      </c>
      <c r="D6" s="168">
        <f ca="1">+E6-55</f>
        <v>45205</v>
      </c>
      <c r="E6" s="168">
        <f ca="1">+H2</f>
        <v>45260</v>
      </c>
      <c r="F6" s="500">
        <v>55</v>
      </c>
      <c r="G6" s="500" t="str">
        <f>VLOOKUP(F6,$A$15:$D$17,3)</f>
        <v>3. Mahnung</v>
      </c>
      <c r="H6" s="501">
        <f>VLOOKUP(F6,$A$15:$D$17,4)/100*F6/360*C6</f>
        <v>37.108652777777785</v>
      </c>
      <c r="I6" s="502">
        <f>C6+H6</f>
        <v>3507.008652777778</v>
      </c>
      <c r="J6" s="165"/>
    </row>
    <row r="7" spans="1:10" x14ac:dyDescent="0.25">
      <c r="A7" s="171">
        <v>62834</v>
      </c>
      <c r="B7" s="39">
        <v>24002</v>
      </c>
      <c r="C7" s="74">
        <v>1407.13</v>
      </c>
      <c r="D7" s="172">
        <f ca="1">+E7-33</f>
        <v>45227</v>
      </c>
      <c r="E7" s="172">
        <f ca="1">+E6</f>
        <v>45260</v>
      </c>
      <c r="F7" s="503">
        <f t="shared" ref="F7:F10" ca="1" si="0">E7-D7</f>
        <v>33</v>
      </c>
      <c r="G7" s="503" t="str">
        <f t="shared" ref="G7:G10" ca="1" si="1">VLOOKUP(F7,$A$15:$D$17,3)</f>
        <v>2. Mahnung</v>
      </c>
      <c r="H7" s="504">
        <f t="shared" ref="H7:H10" ca="1" si="2">VLOOKUP(F7,$A$15:$D$17,4)/100*F7/360*C7</f>
        <v>6.449345833333334</v>
      </c>
      <c r="I7" s="505">
        <f t="shared" ref="I7:I10" ca="1" si="3">C7+H7</f>
        <v>1413.5793458333335</v>
      </c>
      <c r="J7" s="165"/>
    </row>
    <row r="8" spans="1:10" x14ac:dyDescent="0.25">
      <c r="A8" s="171">
        <v>62945</v>
      </c>
      <c r="B8" s="39">
        <v>24003</v>
      </c>
      <c r="C8" s="74">
        <v>2698.48</v>
      </c>
      <c r="D8" s="172">
        <f ca="1">+E8-15</f>
        <v>45245</v>
      </c>
      <c r="E8" s="172">
        <f ca="1">+E7</f>
        <v>45260</v>
      </c>
      <c r="F8" s="503">
        <f t="shared" ca="1" si="0"/>
        <v>15</v>
      </c>
      <c r="G8" s="503" t="str">
        <f t="shared" ca="1" si="1"/>
        <v>1. Mahnung</v>
      </c>
      <c r="H8" s="504">
        <f t="shared" ca="1" si="2"/>
        <v>3.3730999999999995</v>
      </c>
      <c r="I8" s="505">
        <f t="shared" ca="1" si="3"/>
        <v>2701.8530999999998</v>
      </c>
      <c r="J8" s="165"/>
    </row>
    <row r="9" spans="1:10" x14ac:dyDescent="0.25">
      <c r="A9" s="175">
        <v>62948</v>
      </c>
      <c r="B9" s="176">
        <v>24008</v>
      </c>
      <c r="C9" s="57">
        <v>8745.43</v>
      </c>
      <c r="D9" s="177">
        <f ca="1">+E9-25</f>
        <v>45235</v>
      </c>
      <c r="E9" s="172">
        <f ca="1">+E8</f>
        <v>45260</v>
      </c>
      <c r="F9" s="503">
        <f t="shared" ca="1" si="0"/>
        <v>25</v>
      </c>
      <c r="G9" s="503" t="str">
        <f t="shared" ca="1" si="1"/>
        <v>1. Mahnung</v>
      </c>
      <c r="H9" s="506">
        <f t="shared" ca="1" si="2"/>
        <v>18.219645833333335</v>
      </c>
      <c r="I9" s="507">
        <f t="shared" ca="1" si="3"/>
        <v>8763.6496458333331</v>
      </c>
      <c r="J9" s="165"/>
    </row>
    <row r="10" spans="1:10" ht="15.75" thickBot="1" x14ac:dyDescent="0.3">
      <c r="A10" s="179">
        <v>62951</v>
      </c>
      <c r="B10" s="180">
        <v>24004</v>
      </c>
      <c r="C10" s="78">
        <v>7834.34</v>
      </c>
      <c r="D10" s="181">
        <f ca="1">+E10-40</f>
        <v>45220</v>
      </c>
      <c r="E10" s="181">
        <f ca="1">+E9</f>
        <v>45260</v>
      </c>
      <c r="F10" s="508">
        <f t="shared" ca="1" si="0"/>
        <v>40</v>
      </c>
      <c r="G10" s="508" t="str">
        <f t="shared" ca="1" si="1"/>
        <v>2. Mahnung</v>
      </c>
      <c r="H10" s="509">
        <f t="shared" ca="1" si="2"/>
        <v>43.524111111111111</v>
      </c>
      <c r="I10" s="510">
        <f t="shared" ca="1" si="3"/>
        <v>7877.864111111111</v>
      </c>
      <c r="J10" s="165"/>
    </row>
    <row r="12" spans="1:10" ht="15.75" thickBot="1" x14ac:dyDescent="0.3"/>
    <row r="13" spans="1:10" ht="15.75" thickBot="1" x14ac:dyDescent="0.3">
      <c r="B13" s="696" t="s">
        <v>501</v>
      </c>
      <c r="C13" s="697"/>
      <c r="D13" s="698"/>
    </row>
    <row r="14" spans="1:10" ht="15.75" thickBot="1" x14ac:dyDescent="0.3">
      <c r="B14" s="496" t="s">
        <v>559</v>
      </c>
      <c r="C14" s="496" t="s">
        <v>498</v>
      </c>
      <c r="D14" s="496" t="s">
        <v>502</v>
      </c>
    </row>
    <row r="15" spans="1:10" x14ac:dyDescent="0.25">
      <c r="A15">
        <v>12</v>
      </c>
      <c r="B15" s="184" t="s">
        <v>556</v>
      </c>
      <c r="C15" s="185" t="s">
        <v>503</v>
      </c>
      <c r="D15" s="499">
        <v>3</v>
      </c>
    </row>
    <row r="16" spans="1:10" x14ac:dyDescent="0.25">
      <c r="A16">
        <v>30</v>
      </c>
      <c r="B16" s="184" t="s">
        <v>557</v>
      </c>
      <c r="C16" s="185" t="s">
        <v>504</v>
      </c>
      <c r="D16" s="96">
        <v>5</v>
      </c>
    </row>
    <row r="17" spans="1:8" ht="15.75" thickBot="1" x14ac:dyDescent="0.3">
      <c r="A17">
        <v>50</v>
      </c>
      <c r="B17" s="497" t="s">
        <v>558</v>
      </c>
      <c r="C17" s="498" t="s">
        <v>505</v>
      </c>
      <c r="D17" s="97">
        <v>7</v>
      </c>
      <c r="G17" s="165"/>
      <c r="H17" s="68"/>
    </row>
    <row r="20" spans="1:8" x14ac:dyDescent="0.25">
      <c r="A20" t="s">
        <v>560</v>
      </c>
    </row>
    <row r="21" spans="1:8" x14ac:dyDescent="0.25">
      <c r="A21" t="s">
        <v>561</v>
      </c>
    </row>
    <row r="22" spans="1:8" x14ac:dyDescent="0.25">
      <c r="A22" t="s">
        <v>1268</v>
      </c>
    </row>
    <row r="23" spans="1:8" x14ac:dyDescent="0.25">
      <c r="A23" t="s">
        <v>563</v>
      </c>
    </row>
    <row r="24" spans="1:8" x14ac:dyDescent="0.25">
      <c r="A24" t="s">
        <v>564</v>
      </c>
    </row>
    <row r="26" spans="1:8" x14ac:dyDescent="0.25">
      <c r="A26" t="s">
        <v>886</v>
      </c>
    </row>
    <row r="27" spans="1:8" x14ac:dyDescent="0.25">
      <c r="A27" t="s">
        <v>887</v>
      </c>
    </row>
    <row r="28" spans="1:8" x14ac:dyDescent="0.25">
      <c r="A28" t="s">
        <v>888</v>
      </c>
    </row>
  </sheetData>
  <mergeCells count="1">
    <mergeCell ref="B13:D13"/>
  </mergeCells>
  <pageMargins left="0.7" right="0.7" top="0.78740157499999996" bottom="0.78740157499999996"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G40"/>
  <sheetViews>
    <sheetView workbookViewId="0">
      <selection activeCell="D16" sqref="D16"/>
    </sheetView>
  </sheetViews>
  <sheetFormatPr baseColWidth="10" defaultColWidth="11.42578125" defaultRowHeight="15" x14ac:dyDescent="0.25"/>
  <cols>
    <col min="1" max="1" width="23.85546875" customWidth="1"/>
    <col min="2" max="2" width="17.7109375" customWidth="1"/>
    <col min="3" max="3" width="17.140625" customWidth="1"/>
    <col min="4" max="5" width="13.85546875" customWidth="1"/>
    <col min="6" max="6" width="18.140625" customWidth="1"/>
    <col min="7" max="7" width="17.7109375" customWidth="1"/>
  </cols>
  <sheetData>
    <row r="1" spans="1:7" ht="21" x14ac:dyDescent="0.35">
      <c r="A1" s="162" t="s">
        <v>492</v>
      </c>
      <c r="B1" s="615"/>
      <c r="C1" s="624" t="s">
        <v>1301</v>
      </c>
    </row>
    <row r="3" spans="1:7" x14ac:dyDescent="0.25">
      <c r="A3" s="300" t="s">
        <v>889</v>
      </c>
    </row>
    <row r="5" spans="1:7" x14ac:dyDescent="0.25">
      <c r="A5" s="205"/>
      <c r="B5" s="205"/>
      <c r="C5" s="205"/>
      <c r="D5" s="205"/>
      <c r="E5" s="203"/>
      <c r="F5" s="203"/>
      <c r="G5" s="205"/>
    </row>
    <row r="6" spans="1:7" ht="38.25" x14ac:dyDescent="0.25">
      <c r="A6" s="305" t="s">
        <v>479</v>
      </c>
      <c r="B6" s="512" t="s">
        <v>480</v>
      </c>
      <c r="C6" s="512" t="s">
        <v>481</v>
      </c>
      <c r="D6" s="512" t="s">
        <v>565</v>
      </c>
      <c r="E6" s="305" t="s">
        <v>566</v>
      </c>
      <c r="F6" s="305" t="s">
        <v>567</v>
      </c>
      <c r="G6" s="305" t="s">
        <v>482</v>
      </c>
    </row>
    <row r="7" spans="1:7" x14ac:dyDescent="0.25">
      <c r="A7" s="206" t="s">
        <v>483</v>
      </c>
      <c r="B7" s="513">
        <v>6</v>
      </c>
      <c r="C7" s="514"/>
      <c r="D7" s="515">
        <v>3.9</v>
      </c>
      <c r="E7" s="515"/>
      <c r="F7" s="515"/>
      <c r="G7" s="513"/>
    </row>
    <row r="8" spans="1:7" x14ac:dyDescent="0.25">
      <c r="A8" s="206" t="s">
        <v>484</v>
      </c>
      <c r="B8" s="513">
        <v>5</v>
      </c>
      <c r="C8" s="514"/>
      <c r="D8" s="515">
        <v>3.5</v>
      </c>
      <c r="E8" s="515"/>
      <c r="F8" s="515"/>
      <c r="G8" s="513"/>
    </row>
    <row r="9" spans="1:7" x14ac:dyDescent="0.25">
      <c r="A9" s="206" t="s">
        <v>485</v>
      </c>
      <c r="B9" s="513">
        <v>4</v>
      </c>
      <c r="C9" s="514"/>
      <c r="D9" s="515">
        <v>2.5</v>
      </c>
      <c r="E9" s="515"/>
      <c r="F9" s="515"/>
      <c r="G9" s="513"/>
    </row>
    <row r="10" spans="1:7" x14ac:dyDescent="0.25">
      <c r="A10" s="206" t="s">
        <v>301</v>
      </c>
      <c r="B10" s="513">
        <v>14</v>
      </c>
      <c r="C10" s="514"/>
      <c r="D10" s="515">
        <v>7.5</v>
      </c>
      <c r="E10" s="515"/>
      <c r="F10" s="515"/>
      <c r="G10" s="513"/>
    </row>
    <row r="11" spans="1:7" x14ac:dyDescent="0.25">
      <c r="A11" s="206" t="s">
        <v>486</v>
      </c>
      <c r="B11" s="513">
        <v>15</v>
      </c>
      <c r="C11" s="514"/>
      <c r="D11" s="515">
        <v>12.1</v>
      </c>
      <c r="E11" s="515"/>
      <c r="F11" s="515"/>
      <c r="G11" s="513"/>
    </row>
    <row r="12" spans="1:7" x14ac:dyDescent="0.25">
      <c r="A12" s="206" t="s">
        <v>487</v>
      </c>
      <c r="B12" s="513">
        <v>6</v>
      </c>
      <c r="C12" s="514"/>
      <c r="D12" s="515">
        <v>8.6</v>
      </c>
      <c r="E12" s="515"/>
      <c r="F12" s="515"/>
      <c r="G12" s="513"/>
    </row>
    <row r="13" spans="1:7" x14ac:dyDescent="0.25">
      <c r="A13" s="206" t="s">
        <v>488</v>
      </c>
      <c r="B13" s="513">
        <v>12</v>
      </c>
      <c r="C13" s="514"/>
      <c r="D13" s="515">
        <v>23.7</v>
      </c>
      <c r="E13" s="515"/>
      <c r="F13" s="515"/>
      <c r="G13" s="513"/>
    </row>
    <row r="14" spans="1:7" x14ac:dyDescent="0.25">
      <c r="A14" s="206" t="s">
        <v>489</v>
      </c>
      <c r="B14" s="513">
        <v>21</v>
      </c>
      <c r="C14" s="514"/>
      <c r="D14" s="515">
        <v>5.4</v>
      </c>
      <c r="E14" s="515"/>
      <c r="F14" s="515"/>
      <c r="G14" s="513"/>
    </row>
    <row r="15" spans="1:7" x14ac:dyDescent="0.25">
      <c r="A15" s="206" t="s">
        <v>490</v>
      </c>
      <c r="B15" s="513">
        <v>149</v>
      </c>
      <c r="C15" s="514"/>
      <c r="D15" s="515">
        <v>113.7</v>
      </c>
      <c r="E15" s="515"/>
      <c r="F15" s="515"/>
      <c r="G15" s="513"/>
    </row>
    <row r="16" spans="1:7" x14ac:dyDescent="0.25">
      <c r="A16" s="207" t="s">
        <v>491</v>
      </c>
      <c r="B16" s="513">
        <f>SUM(B7:B15)</f>
        <v>232</v>
      </c>
      <c r="C16" s="514"/>
      <c r="D16" s="515">
        <f>SUM(D7:D15)</f>
        <v>180.9</v>
      </c>
      <c r="E16" s="515"/>
      <c r="F16" s="515"/>
      <c r="G16" s="513"/>
    </row>
    <row r="19" spans="1:1" x14ac:dyDescent="0.25">
      <c r="A19" t="s">
        <v>903</v>
      </c>
    </row>
    <row r="20" spans="1:1" x14ac:dyDescent="0.25">
      <c r="A20" t="s">
        <v>890</v>
      </c>
    </row>
    <row r="21" spans="1:1" x14ac:dyDescent="0.25">
      <c r="A21" t="s">
        <v>891</v>
      </c>
    </row>
    <row r="22" spans="1:1" x14ac:dyDescent="0.25">
      <c r="A22" s="9" t="s">
        <v>892</v>
      </c>
    </row>
    <row r="23" spans="1:1" x14ac:dyDescent="0.25">
      <c r="A23" s="516" t="s">
        <v>568</v>
      </c>
    </row>
    <row r="24" spans="1:1" x14ac:dyDescent="0.25">
      <c r="A24" s="516" t="s">
        <v>569</v>
      </c>
    </row>
    <row r="25" spans="1:1" x14ac:dyDescent="0.25">
      <c r="A25" s="516" t="s">
        <v>570</v>
      </c>
    </row>
    <row r="26" spans="1:1" x14ac:dyDescent="0.25">
      <c r="A26" s="516" t="s">
        <v>571</v>
      </c>
    </row>
    <row r="27" spans="1:1" x14ac:dyDescent="0.25">
      <c r="A27" t="s">
        <v>572</v>
      </c>
    </row>
    <row r="29" spans="1:1" x14ac:dyDescent="0.25">
      <c r="A29" s="10" t="s">
        <v>893</v>
      </c>
    </row>
    <row r="30" spans="1:1" x14ac:dyDescent="0.25">
      <c r="A30" t="s">
        <v>894</v>
      </c>
    </row>
    <row r="31" spans="1:1" x14ac:dyDescent="0.25">
      <c r="A31" t="s">
        <v>895</v>
      </c>
    </row>
    <row r="32" spans="1:1" x14ac:dyDescent="0.25">
      <c r="A32" t="s">
        <v>896</v>
      </c>
    </row>
    <row r="34" spans="1:1" x14ac:dyDescent="0.25">
      <c r="A34" s="10" t="s">
        <v>897</v>
      </c>
    </row>
    <row r="35" spans="1:1" x14ac:dyDescent="0.25">
      <c r="A35" t="s">
        <v>898</v>
      </c>
    </row>
    <row r="36" spans="1:1" x14ac:dyDescent="0.25">
      <c r="A36" t="s">
        <v>899</v>
      </c>
    </row>
    <row r="38" spans="1:1" x14ac:dyDescent="0.25">
      <c r="A38" t="s">
        <v>900</v>
      </c>
    </row>
    <row r="39" spans="1:1" x14ac:dyDescent="0.25">
      <c r="A39" t="s">
        <v>901</v>
      </c>
    </row>
    <row r="40" spans="1:1" x14ac:dyDescent="0.25">
      <c r="A40" t="s">
        <v>902</v>
      </c>
    </row>
  </sheetData>
  <pageMargins left="0.70866141732283472" right="0.70866141732283472" top="0.78740157480314965" bottom="0.78740157480314965" header="0.31496062992125984" footer="0.31496062992125984"/>
  <pageSetup paperSize="9" scale="78"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G46"/>
  <sheetViews>
    <sheetView zoomScale="110" zoomScaleNormal="110" workbookViewId="0">
      <selection activeCell="G7" sqref="G7"/>
    </sheetView>
  </sheetViews>
  <sheetFormatPr baseColWidth="10" defaultColWidth="11.42578125" defaultRowHeight="15" x14ac:dyDescent="0.25"/>
  <cols>
    <col min="1" max="1" width="23.85546875" customWidth="1"/>
    <col min="2" max="2" width="17.7109375" customWidth="1"/>
    <col min="3" max="3" width="17.140625" customWidth="1"/>
    <col min="4" max="5" width="13.85546875" customWidth="1"/>
    <col min="6" max="6" width="18.140625" customWidth="1"/>
    <col min="7" max="7" width="17.7109375" customWidth="1"/>
  </cols>
  <sheetData>
    <row r="1" spans="1:7" ht="21" x14ac:dyDescent="0.35">
      <c r="A1" s="162" t="s">
        <v>492</v>
      </c>
      <c r="B1" s="620"/>
      <c r="C1" s="625" t="s">
        <v>1306</v>
      </c>
    </row>
    <row r="3" spans="1:7" x14ac:dyDescent="0.25">
      <c r="A3" s="300" t="s">
        <v>889</v>
      </c>
    </row>
    <row r="5" spans="1:7" x14ac:dyDescent="0.25">
      <c r="A5" s="205"/>
      <c r="B5" s="205"/>
      <c r="C5" s="205"/>
      <c r="D5" s="205"/>
      <c r="E5" s="203"/>
      <c r="F5" s="203"/>
      <c r="G5" s="205"/>
    </row>
    <row r="6" spans="1:7" ht="38.25" x14ac:dyDescent="0.25">
      <c r="A6" s="305" t="s">
        <v>479</v>
      </c>
      <c r="B6" s="512" t="s">
        <v>480</v>
      </c>
      <c r="C6" s="512" t="s">
        <v>481</v>
      </c>
      <c r="D6" s="512" t="s">
        <v>565</v>
      </c>
      <c r="E6" s="305" t="s">
        <v>566</v>
      </c>
      <c r="F6" s="305" t="s">
        <v>567</v>
      </c>
      <c r="G6" s="305" t="s">
        <v>482</v>
      </c>
    </row>
    <row r="7" spans="1:7" x14ac:dyDescent="0.25">
      <c r="A7" s="206" t="s">
        <v>483</v>
      </c>
      <c r="B7" s="513">
        <v>6</v>
      </c>
      <c r="C7" s="514">
        <f>B7/$B$16</f>
        <v>2.5862068965517241E-2</v>
      </c>
      <c r="D7" s="515">
        <v>3.9</v>
      </c>
      <c r="E7" s="515">
        <f>D7/B7</f>
        <v>0.65</v>
      </c>
      <c r="F7" s="515">
        <f>E7*12</f>
        <v>7.8000000000000007</v>
      </c>
      <c r="G7" s="513" t="str">
        <f>VLOOKUP(F7,$A$30:$B$33,2)</f>
        <v>normal</v>
      </c>
    </row>
    <row r="8" spans="1:7" x14ac:dyDescent="0.25">
      <c r="A8" s="206" t="s">
        <v>484</v>
      </c>
      <c r="B8" s="513">
        <v>5</v>
      </c>
      <c r="C8" s="514">
        <f t="shared" ref="C8:C16" si="0">B8/$B$16</f>
        <v>2.1551724137931036E-2</v>
      </c>
      <c r="D8" s="515">
        <v>3.5</v>
      </c>
      <c r="E8" s="515">
        <f t="shared" ref="E8:E16" si="1">D8/B8</f>
        <v>0.7</v>
      </c>
      <c r="F8" s="515">
        <f t="shared" ref="F8:F16" si="2">E8*12</f>
        <v>8.3999999999999986</v>
      </c>
      <c r="G8" s="513" t="str">
        <f t="shared" ref="G8:G16" si="3">VLOOKUP(F8,$A$30:$B$33,2)</f>
        <v>normal</v>
      </c>
    </row>
    <row r="9" spans="1:7" x14ac:dyDescent="0.25">
      <c r="A9" s="206" t="s">
        <v>485</v>
      </c>
      <c r="B9" s="513">
        <v>4</v>
      </c>
      <c r="C9" s="514">
        <f t="shared" si="0"/>
        <v>1.7241379310344827E-2</v>
      </c>
      <c r="D9" s="515">
        <v>2.5</v>
      </c>
      <c r="E9" s="515">
        <f t="shared" si="1"/>
        <v>0.625</v>
      </c>
      <c r="F9" s="515">
        <f t="shared" si="2"/>
        <v>7.5</v>
      </c>
      <c r="G9" s="513" t="str">
        <f t="shared" si="3"/>
        <v>normal</v>
      </c>
    </row>
    <row r="10" spans="1:7" x14ac:dyDescent="0.25">
      <c r="A10" s="206" t="s">
        <v>301</v>
      </c>
      <c r="B10" s="513">
        <v>14</v>
      </c>
      <c r="C10" s="514">
        <f t="shared" si="0"/>
        <v>6.0344827586206899E-2</v>
      </c>
      <c r="D10" s="515">
        <v>7.5</v>
      </c>
      <c r="E10" s="515">
        <f t="shared" si="1"/>
        <v>0.5357142857142857</v>
      </c>
      <c r="F10" s="515">
        <f t="shared" si="2"/>
        <v>6.4285714285714288</v>
      </c>
      <c r="G10" s="513" t="str">
        <f t="shared" si="3"/>
        <v>niedrig</v>
      </c>
    </row>
    <row r="11" spans="1:7" x14ac:dyDescent="0.25">
      <c r="A11" s="206" t="s">
        <v>486</v>
      </c>
      <c r="B11" s="513">
        <v>15</v>
      </c>
      <c r="C11" s="514">
        <f t="shared" si="0"/>
        <v>6.4655172413793108E-2</v>
      </c>
      <c r="D11" s="515">
        <v>12.1</v>
      </c>
      <c r="E11" s="515">
        <f t="shared" si="1"/>
        <v>0.80666666666666664</v>
      </c>
      <c r="F11" s="515">
        <f t="shared" si="2"/>
        <v>9.68</v>
      </c>
      <c r="G11" s="513" t="str">
        <f t="shared" si="3"/>
        <v>erhöht</v>
      </c>
    </row>
    <row r="12" spans="1:7" x14ac:dyDescent="0.25">
      <c r="A12" s="206" t="s">
        <v>487</v>
      </c>
      <c r="B12" s="513">
        <v>6</v>
      </c>
      <c r="C12" s="514">
        <f t="shared" si="0"/>
        <v>2.5862068965517241E-2</v>
      </c>
      <c r="D12" s="515">
        <v>8.6</v>
      </c>
      <c r="E12" s="515">
        <f t="shared" si="1"/>
        <v>1.4333333333333333</v>
      </c>
      <c r="F12" s="515">
        <f t="shared" si="2"/>
        <v>17.2</v>
      </c>
      <c r="G12" s="513" t="str">
        <f t="shared" si="3"/>
        <v>deutlich erhöht</v>
      </c>
    </row>
    <row r="13" spans="1:7" x14ac:dyDescent="0.25">
      <c r="A13" s="206" t="s">
        <v>488</v>
      </c>
      <c r="B13" s="513">
        <v>12</v>
      </c>
      <c r="C13" s="514">
        <f t="shared" si="0"/>
        <v>5.1724137931034482E-2</v>
      </c>
      <c r="D13" s="515">
        <v>23.7</v>
      </c>
      <c r="E13" s="515">
        <f t="shared" si="1"/>
        <v>1.9749999999999999</v>
      </c>
      <c r="F13" s="515">
        <f t="shared" si="2"/>
        <v>23.7</v>
      </c>
      <c r="G13" s="513" t="str">
        <f t="shared" si="3"/>
        <v>deutlich erhöht</v>
      </c>
    </row>
    <row r="14" spans="1:7" x14ac:dyDescent="0.25">
      <c r="A14" s="206" t="s">
        <v>489</v>
      </c>
      <c r="B14" s="513">
        <v>21</v>
      </c>
      <c r="C14" s="514">
        <f t="shared" si="0"/>
        <v>9.0517241379310345E-2</v>
      </c>
      <c r="D14" s="515">
        <v>5.4</v>
      </c>
      <c r="E14" s="515">
        <f t="shared" si="1"/>
        <v>0.25714285714285717</v>
      </c>
      <c r="F14" s="515">
        <f t="shared" si="2"/>
        <v>3.0857142857142863</v>
      </c>
      <c r="G14" s="513" t="str">
        <f t="shared" si="3"/>
        <v>niedrig</v>
      </c>
    </row>
    <row r="15" spans="1:7" x14ac:dyDescent="0.25">
      <c r="A15" s="206" t="s">
        <v>490</v>
      </c>
      <c r="B15" s="513">
        <v>149</v>
      </c>
      <c r="C15" s="514">
        <f t="shared" si="0"/>
        <v>0.64224137931034486</v>
      </c>
      <c r="D15" s="515">
        <v>113.7</v>
      </c>
      <c r="E15" s="515">
        <f t="shared" si="1"/>
        <v>0.76308724832214769</v>
      </c>
      <c r="F15" s="515">
        <f t="shared" si="2"/>
        <v>9.1570469798657719</v>
      </c>
      <c r="G15" s="513" t="str">
        <f t="shared" si="3"/>
        <v>erhöht</v>
      </c>
    </row>
    <row r="16" spans="1:7" x14ac:dyDescent="0.25">
      <c r="A16" s="207" t="s">
        <v>491</v>
      </c>
      <c r="B16" s="513">
        <f>SUM(B7:B15)</f>
        <v>232</v>
      </c>
      <c r="C16" s="514">
        <f t="shared" si="0"/>
        <v>1</v>
      </c>
      <c r="D16" s="515">
        <f>SUM(D7:D15)</f>
        <v>180.9</v>
      </c>
      <c r="E16" s="515">
        <f t="shared" si="1"/>
        <v>0.77974137931034482</v>
      </c>
      <c r="F16" s="515">
        <f t="shared" si="2"/>
        <v>9.3568965517241374</v>
      </c>
      <c r="G16" s="513" t="str">
        <f t="shared" si="3"/>
        <v>erhöht</v>
      </c>
    </row>
    <row r="19" spans="1:2" x14ac:dyDescent="0.25">
      <c r="A19" t="s">
        <v>903</v>
      </c>
    </row>
    <row r="20" spans="1:2" x14ac:dyDescent="0.25">
      <c r="A20" t="s">
        <v>890</v>
      </c>
    </row>
    <row r="21" spans="1:2" x14ac:dyDescent="0.25">
      <c r="A21" t="s">
        <v>891</v>
      </c>
    </row>
    <row r="22" spans="1:2" x14ac:dyDescent="0.25">
      <c r="A22" s="9" t="s">
        <v>892</v>
      </c>
    </row>
    <row r="23" spans="1:2" x14ac:dyDescent="0.25">
      <c r="A23" s="516" t="s">
        <v>568</v>
      </c>
    </row>
    <row r="24" spans="1:2" x14ac:dyDescent="0.25">
      <c r="A24" s="516" t="s">
        <v>569</v>
      </c>
    </row>
    <row r="25" spans="1:2" x14ac:dyDescent="0.25">
      <c r="A25" s="516" t="s">
        <v>570</v>
      </c>
    </row>
    <row r="26" spans="1:2" x14ac:dyDescent="0.25">
      <c r="A26" s="516" t="s">
        <v>571</v>
      </c>
    </row>
    <row r="27" spans="1:2" x14ac:dyDescent="0.25">
      <c r="A27" t="s">
        <v>572</v>
      </c>
    </row>
    <row r="29" spans="1:2" ht="25.5" x14ac:dyDescent="0.25">
      <c r="A29" s="305" t="s">
        <v>567</v>
      </c>
      <c r="B29" s="305" t="s">
        <v>482</v>
      </c>
    </row>
    <row r="30" spans="1:2" x14ac:dyDescent="0.25">
      <c r="A30" s="422">
        <v>0</v>
      </c>
      <c r="B30" s="422" t="s">
        <v>654</v>
      </c>
    </row>
    <row r="31" spans="1:2" x14ac:dyDescent="0.25">
      <c r="A31" s="422">
        <v>7</v>
      </c>
      <c r="B31" s="422" t="s">
        <v>655</v>
      </c>
    </row>
    <row r="32" spans="1:2" x14ac:dyDescent="0.25">
      <c r="A32" s="422">
        <v>9</v>
      </c>
      <c r="B32" s="422" t="s">
        <v>656</v>
      </c>
    </row>
    <row r="33" spans="1:2" x14ac:dyDescent="0.25">
      <c r="A33" s="422">
        <v>11</v>
      </c>
      <c r="B33" s="422" t="s">
        <v>657</v>
      </c>
    </row>
    <row r="35" spans="1:2" x14ac:dyDescent="0.25">
      <c r="A35" s="10" t="s">
        <v>893</v>
      </c>
    </row>
    <row r="36" spans="1:2" x14ac:dyDescent="0.25">
      <c r="A36" t="s">
        <v>894</v>
      </c>
    </row>
    <row r="37" spans="1:2" x14ac:dyDescent="0.25">
      <c r="A37" t="s">
        <v>895</v>
      </c>
    </row>
    <row r="38" spans="1:2" x14ac:dyDescent="0.25">
      <c r="A38" t="s">
        <v>896</v>
      </c>
    </row>
    <row r="40" spans="1:2" x14ac:dyDescent="0.25">
      <c r="A40" s="10" t="s">
        <v>897</v>
      </c>
    </row>
    <row r="41" spans="1:2" x14ac:dyDescent="0.25">
      <c r="A41" t="s">
        <v>898</v>
      </c>
    </row>
    <row r="42" spans="1:2" x14ac:dyDescent="0.25">
      <c r="A42" t="s">
        <v>899</v>
      </c>
    </row>
    <row r="44" spans="1:2" x14ac:dyDescent="0.25">
      <c r="A44" t="s">
        <v>900</v>
      </c>
    </row>
    <row r="45" spans="1:2" x14ac:dyDescent="0.25">
      <c r="A45" t="s">
        <v>901</v>
      </c>
    </row>
    <row r="46" spans="1:2" x14ac:dyDescent="0.25">
      <c r="A46" t="s">
        <v>902</v>
      </c>
    </row>
  </sheetData>
  <pageMargins left="0.7" right="0.7" top="0.78740157499999996" bottom="0.78740157499999996"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P35"/>
  <sheetViews>
    <sheetView workbookViewId="0"/>
  </sheetViews>
  <sheetFormatPr baseColWidth="10" defaultRowHeight="15" x14ac:dyDescent="0.25"/>
  <cols>
    <col min="2" max="2" width="14.42578125" customWidth="1"/>
    <col min="3" max="3" width="12.28515625" customWidth="1"/>
    <col min="10" max="10" width="17.28515625" customWidth="1"/>
    <col min="11" max="11" width="12.140625" customWidth="1"/>
    <col min="12" max="12" width="13.140625" customWidth="1"/>
  </cols>
  <sheetData>
    <row r="3" spans="2:9" ht="18.75" x14ac:dyDescent="0.3">
      <c r="B3" s="522" t="s">
        <v>1251</v>
      </c>
    </row>
    <row r="5" spans="2:9" x14ac:dyDescent="0.25">
      <c r="B5" s="591" t="s">
        <v>1140</v>
      </c>
    </row>
    <row r="7" spans="2:9" x14ac:dyDescent="0.25">
      <c r="B7" t="s">
        <v>1141</v>
      </c>
    </row>
    <row r="8" spans="2:9" x14ac:dyDescent="0.25">
      <c r="B8" t="s">
        <v>1139</v>
      </c>
    </row>
    <row r="9" spans="2:9" x14ac:dyDescent="0.25">
      <c r="B9" t="s">
        <v>1142</v>
      </c>
    </row>
    <row r="10" spans="2:9" x14ac:dyDescent="0.25">
      <c r="B10" s="40" t="s">
        <v>1143</v>
      </c>
      <c r="C10" s="532"/>
      <c r="D10" s="532"/>
      <c r="E10" s="532"/>
      <c r="F10" s="532"/>
      <c r="G10" s="532"/>
      <c r="H10" s="532"/>
      <c r="I10" s="532"/>
    </row>
    <row r="12" spans="2:9" x14ac:dyDescent="0.25">
      <c r="B12" t="s">
        <v>1130</v>
      </c>
    </row>
    <row r="15" spans="2:9" x14ac:dyDescent="0.25">
      <c r="B15" t="s">
        <v>1151</v>
      </c>
    </row>
    <row r="16" spans="2:9" x14ac:dyDescent="0.25">
      <c r="B16" t="s">
        <v>1152</v>
      </c>
    </row>
    <row r="17" spans="2:16" x14ac:dyDescent="0.25">
      <c r="B17" t="s">
        <v>1153</v>
      </c>
    </row>
    <row r="18" spans="2:16" x14ac:dyDescent="0.25">
      <c r="B18" s="594" t="s">
        <v>1144</v>
      </c>
      <c r="K18" s="10" t="s">
        <v>1146</v>
      </c>
    </row>
    <row r="20" spans="2:16" x14ac:dyDescent="0.25">
      <c r="D20" s="641" t="s">
        <v>1132</v>
      </c>
      <c r="E20" s="641"/>
      <c r="F20" s="641" t="s">
        <v>1145</v>
      </c>
      <c r="G20" s="641"/>
      <c r="M20" s="641" t="s">
        <v>1132</v>
      </c>
      <c r="N20" s="641"/>
      <c r="O20" s="641" t="s">
        <v>1145</v>
      </c>
      <c r="P20" s="641"/>
    </row>
    <row r="21" spans="2:16" x14ac:dyDescent="0.25">
      <c r="D21" s="160" t="s">
        <v>422</v>
      </c>
      <c r="E21" s="160" t="s">
        <v>420</v>
      </c>
      <c r="F21" s="160" t="s">
        <v>422</v>
      </c>
      <c r="G21" s="160" t="s">
        <v>420</v>
      </c>
      <c r="M21" s="160" t="s">
        <v>422</v>
      </c>
      <c r="N21" s="160" t="s">
        <v>420</v>
      </c>
      <c r="O21" s="160" t="s">
        <v>422</v>
      </c>
      <c r="P21" s="160" t="s">
        <v>420</v>
      </c>
    </row>
    <row r="22" spans="2:16" x14ac:dyDescent="0.25">
      <c r="B22" s="589" t="s">
        <v>744</v>
      </c>
      <c r="C22" s="589" t="s">
        <v>351</v>
      </c>
      <c r="D22" s="589" t="s">
        <v>1131</v>
      </c>
      <c r="E22" s="589" t="s">
        <v>1132</v>
      </c>
      <c r="F22" s="589" t="s">
        <v>1131</v>
      </c>
      <c r="G22" s="589" t="s">
        <v>1145</v>
      </c>
      <c r="K22" s="589" t="s">
        <v>744</v>
      </c>
      <c r="L22" s="589" t="s">
        <v>351</v>
      </c>
      <c r="M22" s="589" t="s">
        <v>1131</v>
      </c>
      <c r="N22" s="589" t="s">
        <v>1132</v>
      </c>
      <c r="O22" s="589" t="s">
        <v>1131</v>
      </c>
      <c r="P22" s="589" t="s">
        <v>1145</v>
      </c>
    </row>
    <row r="23" spans="2:16" x14ac:dyDescent="0.25">
      <c r="B23" s="590" t="s">
        <v>1133</v>
      </c>
      <c r="C23" s="89">
        <v>5000</v>
      </c>
      <c r="D23" s="612" t="s">
        <v>941</v>
      </c>
      <c r="E23" s="612" t="s">
        <v>941</v>
      </c>
      <c r="F23" s="612" t="s">
        <v>941</v>
      </c>
      <c r="G23" s="612" t="s">
        <v>941</v>
      </c>
      <c r="K23" s="590" t="s">
        <v>1133</v>
      </c>
      <c r="L23" s="89">
        <v>5000</v>
      </c>
      <c r="M23" s="613">
        <f>RANK(L23,$L$23:$L$28,0)</f>
        <v>2</v>
      </c>
      <c r="N23" s="599" t="str">
        <f>IF(M23=1,K23,"")</f>
        <v/>
      </c>
      <c r="O23" s="613">
        <f>RANK(L23,$L$23:$L$28,1)</f>
        <v>5</v>
      </c>
      <c r="P23" s="599" t="str">
        <f>IF(O23=1,K23,"")</f>
        <v/>
      </c>
    </row>
    <row r="24" spans="2:16" x14ac:dyDescent="0.25">
      <c r="B24" s="590" t="s">
        <v>1134</v>
      </c>
      <c r="C24" s="89">
        <v>3500</v>
      </c>
      <c r="D24" s="612" t="s">
        <v>941</v>
      </c>
      <c r="E24" s="612" t="s">
        <v>941</v>
      </c>
      <c r="F24" s="612" t="s">
        <v>941</v>
      </c>
      <c r="G24" s="612" t="s">
        <v>941</v>
      </c>
      <c r="K24" s="590" t="s">
        <v>1134</v>
      </c>
      <c r="L24" s="89">
        <v>3500</v>
      </c>
      <c r="M24" s="613">
        <f t="shared" ref="M24:M28" si="0">RANK(L24,$L$23:$L$28,0)</f>
        <v>6</v>
      </c>
      <c r="N24" s="599" t="str">
        <f t="shared" ref="N24:N28" si="1">IF(M24=1,K24,"")</f>
        <v/>
      </c>
      <c r="O24" s="613">
        <f t="shared" ref="O24:O28" si="2">RANK(L24,$L$23:$L$28,1)</f>
        <v>1</v>
      </c>
      <c r="P24" s="599" t="str">
        <f t="shared" ref="P24:P28" si="3">IF(O24=1,K24,"")</f>
        <v>Fr. Kunz</v>
      </c>
    </row>
    <row r="25" spans="2:16" x14ac:dyDescent="0.25">
      <c r="B25" s="590" t="s">
        <v>1135</v>
      </c>
      <c r="C25" s="89">
        <v>5100</v>
      </c>
      <c r="D25" s="612" t="s">
        <v>941</v>
      </c>
      <c r="E25" s="612" t="s">
        <v>941</v>
      </c>
      <c r="F25" s="612" t="s">
        <v>941</v>
      </c>
      <c r="G25" s="612" t="s">
        <v>941</v>
      </c>
      <c r="K25" s="590" t="s">
        <v>1135</v>
      </c>
      <c r="L25" s="89">
        <v>5100</v>
      </c>
      <c r="M25" s="613">
        <f t="shared" si="0"/>
        <v>1</v>
      </c>
      <c r="N25" s="599" t="str">
        <f t="shared" si="1"/>
        <v>Fr. Mund</v>
      </c>
      <c r="O25" s="613">
        <f t="shared" si="2"/>
        <v>6</v>
      </c>
      <c r="P25" s="599" t="str">
        <f t="shared" si="3"/>
        <v/>
      </c>
    </row>
    <row r="26" spans="2:16" x14ac:dyDescent="0.25">
      <c r="B26" s="590" t="s">
        <v>1136</v>
      </c>
      <c r="C26" s="89">
        <v>3700</v>
      </c>
      <c r="D26" s="612" t="s">
        <v>941</v>
      </c>
      <c r="E26" s="612" t="s">
        <v>941</v>
      </c>
      <c r="F26" s="612" t="s">
        <v>941</v>
      </c>
      <c r="G26" s="612" t="s">
        <v>941</v>
      </c>
      <c r="K26" s="590" t="s">
        <v>1136</v>
      </c>
      <c r="L26" s="89">
        <v>3700</v>
      </c>
      <c r="M26" s="613">
        <f t="shared" si="0"/>
        <v>5</v>
      </c>
      <c r="N26" s="599" t="str">
        <f t="shared" si="1"/>
        <v/>
      </c>
      <c r="O26" s="613">
        <f t="shared" si="2"/>
        <v>2</v>
      </c>
      <c r="P26" s="599" t="str">
        <f t="shared" si="3"/>
        <v/>
      </c>
    </row>
    <row r="27" spans="2:16" x14ac:dyDescent="0.25">
      <c r="B27" s="590" t="s">
        <v>1137</v>
      </c>
      <c r="C27" s="89">
        <v>4250</v>
      </c>
      <c r="D27" s="612" t="s">
        <v>941</v>
      </c>
      <c r="E27" s="612" t="s">
        <v>941</v>
      </c>
      <c r="F27" s="612" t="s">
        <v>941</v>
      </c>
      <c r="G27" s="612" t="s">
        <v>941</v>
      </c>
      <c r="K27" s="590" t="s">
        <v>1137</v>
      </c>
      <c r="L27" s="89">
        <v>4250</v>
      </c>
      <c r="M27" s="613">
        <f t="shared" si="0"/>
        <v>4</v>
      </c>
      <c r="N27" s="599" t="str">
        <f t="shared" si="1"/>
        <v/>
      </c>
      <c r="O27" s="613">
        <f t="shared" si="2"/>
        <v>3</v>
      </c>
      <c r="P27" s="599" t="str">
        <f t="shared" si="3"/>
        <v/>
      </c>
    </row>
    <row r="28" spans="2:16" x14ac:dyDescent="0.25">
      <c r="B28" s="590" t="s">
        <v>1138</v>
      </c>
      <c r="C28" s="89">
        <v>4800</v>
      </c>
      <c r="D28" s="612" t="s">
        <v>941</v>
      </c>
      <c r="E28" s="612" t="s">
        <v>941</v>
      </c>
      <c r="F28" s="612" t="s">
        <v>941</v>
      </c>
      <c r="G28" s="612" t="s">
        <v>941</v>
      </c>
      <c r="K28" s="590" t="s">
        <v>1138</v>
      </c>
      <c r="L28" s="89">
        <v>4800</v>
      </c>
      <c r="M28" s="613">
        <f t="shared" si="0"/>
        <v>3</v>
      </c>
      <c r="N28" s="599" t="str">
        <f t="shared" si="1"/>
        <v/>
      </c>
      <c r="O28" s="613">
        <f t="shared" si="2"/>
        <v>4</v>
      </c>
      <c r="P28" s="599" t="str">
        <f t="shared" si="3"/>
        <v/>
      </c>
    </row>
    <row r="30" spans="2:16" x14ac:dyDescent="0.25">
      <c r="B30" s="592" t="s">
        <v>1147</v>
      </c>
    </row>
    <row r="31" spans="2:16" x14ac:dyDescent="0.25">
      <c r="B31" s="592" t="s">
        <v>1296</v>
      </c>
    </row>
    <row r="33" spans="2:2" x14ac:dyDescent="0.25">
      <c r="B33" s="593" t="s">
        <v>1148</v>
      </c>
    </row>
    <row r="34" spans="2:2" x14ac:dyDescent="0.25">
      <c r="B34" s="593" t="s">
        <v>1149</v>
      </c>
    </row>
    <row r="35" spans="2:2" x14ac:dyDescent="0.25">
      <c r="B35" s="592" t="s">
        <v>1150</v>
      </c>
    </row>
  </sheetData>
  <mergeCells count="4">
    <mergeCell ref="D20:E20"/>
    <mergeCell ref="F20:G20"/>
    <mergeCell ref="M20:N20"/>
    <mergeCell ref="O20:P2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1"/>
  <sheetViews>
    <sheetView zoomScaleNormal="100" workbookViewId="0"/>
  </sheetViews>
  <sheetFormatPr baseColWidth="10" defaultColWidth="11.42578125" defaultRowHeight="15" x14ac:dyDescent="0.25"/>
  <cols>
    <col min="2" max="2" width="17.28515625" customWidth="1"/>
    <col min="3" max="3" width="19.85546875" customWidth="1"/>
    <col min="4" max="4" width="16.28515625" customWidth="1"/>
    <col min="5" max="5" width="22.28515625" customWidth="1"/>
  </cols>
  <sheetData>
    <row r="1" spans="1:13" ht="21" x14ac:dyDescent="0.35">
      <c r="A1" s="162" t="s">
        <v>0</v>
      </c>
      <c r="C1" s="616" t="s">
        <v>1300</v>
      </c>
      <c r="D1" s="614"/>
      <c r="E1" s="293">
        <f ca="1">YEAR(D2)</f>
        <v>2023</v>
      </c>
    </row>
    <row r="2" spans="1:13" ht="15.75" thickBot="1" x14ac:dyDescent="0.3">
      <c r="D2" s="293">
        <f ca="1">TODAY()</f>
        <v>45262</v>
      </c>
      <c r="E2" s="294" t="s">
        <v>5</v>
      </c>
    </row>
    <row r="3" spans="1:13" x14ac:dyDescent="0.25">
      <c r="A3" s="300" t="s">
        <v>672</v>
      </c>
      <c r="F3" s="103"/>
      <c r="G3" s="104"/>
      <c r="H3" s="104"/>
      <c r="I3" s="104"/>
      <c r="J3" s="104"/>
      <c r="K3" s="104"/>
      <c r="L3" s="104"/>
      <c r="M3" s="105"/>
    </row>
    <row r="4" spans="1:13" x14ac:dyDescent="0.25">
      <c r="F4" s="106"/>
      <c r="M4" s="107"/>
    </row>
    <row r="5" spans="1:13" ht="36.75" customHeight="1" x14ac:dyDescent="0.25">
      <c r="A5" s="292" t="s">
        <v>1</v>
      </c>
      <c r="B5" s="292" t="s">
        <v>13</v>
      </c>
      <c r="C5" s="292" t="s">
        <v>2</v>
      </c>
      <c r="D5" s="292" t="s">
        <v>7</v>
      </c>
      <c r="E5" s="297" t="s">
        <v>3</v>
      </c>
      <c r="F5" s="106"/>
      <c r="M5" s="107"/>
    </row>
    <row r="6" spans="1:13" x14ac:dyDescent="0.25">
      <c r="A6" s="2">
        <f t="shared" ref="A6:A19" ca="1" si="0">+A7-1</f>
        <v>2007</v>
      </c>
      <c r="B6" s="2">
        <v>12</v>
      </c>
      <c r="C6" s="3">
        <v>66455</v>
      </c>
      <c r="D6" s="4"/>
      <c r="E6" s="298">
        <v>5690</v>
      </c>
      <c r="F6" s="106"/>
      <c r="M6" s="107"/>
    </row>
    <row r="7" spans="1:13" x14ac:dyDescent="0.25">
      <c r="A7" s="2">
        <f t="shared" ca="1" si="0"/>
        <v>2008</v>
      </c>
      <c r="B7" s="2">
        <v>11</v>
      </c>
      <c r="C7" s="5">
        <v>60065</v>
      </c>
      <c r="D7" s="4"/>
      <c r="E7" s="299">
        <v>5800</v>
      </c>
      <c r="F7" s="106"/>
      <c r="M7" s="107"/>
    </row>
    <row r="8" spans="1:13" x14ac:dyDescent="0.25">
      <c r="A8" s="2">
        <f t="shared" ca="1" si="0"/>
        <v>2009</v>
      </c>
      <c r="B8" s="2">
        <v>10</v>
      </c>
      <c r="C8" s="5">
        <v>56652</v>
      </c>
      <c r="D8" s="4"/>
      <c r="E8" s="299">
        <v>5895</v>
      </c>
      <c r="F8" s="106"/>
      <c r="M8" s="107"/>
    </row>
    <row r="9" spans="1:13" x14ac:dyDescent="0.25">
      <c r="A9" s="2">
        <f t="shared" ca="1" si="0"/>
        <v>2010</v>
      </c>
      <c r="B9" s="2">
        <v>10</v>
      </c>
      <c r="C9" s="5">
        <v>58266</v>
      </c>
      <c r="D9" s="4"/>
      <c r="E9" s="299">
        <v>5905</v>
      </c>
      <c r="F9" s="106"/>
      <c r="M9" s="107"/>
    </row>
    <row r="10" spans="1:13" x14ac:dyDescent="0.25">
      <c r="A10" s="2">
        <f t="shared" ca="1" si="0"/>
        <v>2011</v>
      </c>
      <c r="B10" s="2">
        <v>13</v>
      </c>
      <c r="C10" s="5">
        <v>76064</v>
      </c>
      <c r="D10" s="4"/>
      <c r="E10" s="299">
        <v>5990</v>
      </c>
      <c r="F10" s="106"/>
      <c r="H10" t="s">
        <v>580</v>
      </c>
      <c r="M10" s="107"/>
    </row>
    <row r="11" spans="1:13" x14ac:dyDescent="0.25">
      <c r="A11" s="2">
        <f t="shared" ca="1" si="0"/>
        <v>2012</v>
      </c>
      <c r="B11" s="2">
        <v>13</v>
      </c>
      <c r="C11" s="5">
        <v>77725</v>
      </c>
      <c r="D11" s="4"/>
      <c r="E11" s="299">
        <v>6280</v>
      </c>
      <c r="F11" s="106"/>
      <c r="M11" s="107"/>
    </row>
    <row r="12" spans="1:13" x14ac:dyDescent="0.25">
      <c r="A12" s="2">
        <f t="shared" ca="1" si="0"/>
        <v>2013</v>
      </c>
      <c r="B12" s="2">
        <v>16</v>
      </c>
      <c r="C12" s="3">
        <v>103221</v>
      </c>
      <c r="D12" s="4"/>
      <c r="E12" s="298">
        <v>6475</v>
      </c>
      <c r="F12" s="106"/>
      <c r="M12" s="107"/>
    </row>
    <row r="13" spans="1:13" x14ac:dyDescent="0.25">
      <c r="A13" s="2">
        <f t="shared" ca="1" si="0"/>
        <v>2014</v>
      </c>
      <c r="B13" s="2">
        <v>16</v>
      </c>
      <c r="C13" s="3">
        <v>104414</v>
      </c>
      <c r="D13" s="4"/>
      <c r="E13" s="298">
        <v>6555</v>
      </c>
      <c r="F13" s="106"/>
      <c r="M13" s="107"/>
    </row>
    <row r="14" spans="1:13" x14ac:dyDescent="0.25">
      <c r="A14" s="2">
        <f t="shared" ca="1" si="0"/>
        <v>2015</v>
      </c>
      <c r="B14" s="2">
        <v>15</v>
      </c>
      <c r="C14" s="3">
        <v>102901</v>
      </c>
      <c r="D14" s="4"/>
      <c r="E14" s="298">
        <v>6700</v>
      </c>
      <c r="F14" s="106"/>
      <c r="M14" s="107"/>
    </row>
    <row r="15" spans="1:13" x14ac:dyDescent="0.25">
      <c r="A15" s="2">
        <f t="shared" ca="1" si="0"/>
        <v>2016</v>
      </c>
      <c r="B15" s="2">
        <v>16</v>
      </c>
      <c r="C15" s="3">
        <v>106556</v>
      </c>
      <c r="D15" s="4"/>
      <c r="E15" s="298">
        <v>6720</v>
      </c>
      <c r="F15" s="106"/>
      <c r="M15" s="107"/>
    </row>
    <row r="16" spans="1:13" x14ac:dyDescent="0.25">
      <c r="A16" s="2">
        <f t="shared" ca="1" si="0"/>
        <v>2017</v>
      </c>
      <c r="B16" s="2">
        <v>17</v>
      </c>
      <c r="C16" s="3">
        <v>112444</v>
      </c>
      <c r="D16" s="4"/>
      <c r="E16" s="298">
        <v>6825</v>
      </c>
      <c r="F16" s="106"/>
      <c r="M16" s="107"/>
    </row>
    <row r="17" spans="1:13" x14ac:dyDescent="0.25">
      <c r="A17" s="2">
        <f t="shared" ca="1" si="0"/>
        <v>2018</v>
      </c>
      <c r="B17" s="2">
        <v>19</v>
      </c>
      <c r="C17" s="3">
        <v>130900</v>
      </c>
      <c r="D17" s="4"/>
      <c r="E17" s="298">
        <v>6875</v>
      </c>
      <c r="F17" s="106"/>
      <c r="M17" s="107"/>
    </row>
    <row r="18" spans="1:13" x14ac:dyDescent="0.25">
      <c r="A18" s="2">
        <f t="shared" ca="1" si="0"/>
        <v>2019</v>
      </c>
      <c r="B18" s="2">
        <v>21</v>
      </c>
      <c r="C18" s="3">
        <v>156468</v>
      </c>
      <c r="D18" s="4"/>
      <c r="E18" s="298">
        <v>6880</v>
      </c>
      <c r="F18" s="106"/>
      <c r="M18" s="107"/>
    </row>
    <row r="19" spans="1:13" x14ac:dyDescent="0.25">
      <c r="A19" s="2">
        <f t="shared" ca="1" si="0"/>
        <v>2020</v>
      </c>
      <c r="B19" s="2">
        <v>18</v>
      </c>
      <c r="C19" s="3">
        <v>131636</v>
      </c>
      <c r="D19" s="4"/>
      <c r="E19" s="298">
        <v>6870</v>
      </c>
      <c r="F19" s="106"/>
      <c r="M19" s="107"/>
    </row>
    <row r="20" spans="1:13" x14ac:dyDescent="0.25">
      <c r="A20" s="2">
        <f ca="1">+A21-1</f>
        <v>2021</v>
      </c>
      <c r="B20" s="2">
        <v>19</v>
      </c>
      <c r="C20" s="3">
        <v>138114</v>
      </c>
      <c r="D20" s="4"/>
      <c r="E20" s="298">
        <v>6895</v>
      </c>
      <c r="F20" s="106"/>
      <c r="M20" s="107"/>
    </row>
    <row r="21" spans="1:13" ht="15.75" thickBot="1" x14ac:dyDescent="0.3">
      <c r="A21" s="2">
        <f ca="1">+E1-1</f>
        <v>2022</v>
      </c>
      <c r="B21" s="2">
        <v>19</v>
      </c>
      <c r="C21" s="3">
        <v>136340</v>
      </c>
      <c r="D21" s="4"/>
      <c r="E21" s="298">
        <v>6915</v>
      </c>
      <c r="F21" s="108"/>
      <c r="G21" s="109"/>
      <c r="H21" s="109"/>
      <c r="I21" s="109"/>
      <c r="J21" s="109"/>
      <c r="K21" s="109"/>
      <c r="L21" s="109"/>
      <c r="M21" s="110"/>
    </row>
    <row r="22" spans="1:13" x14ac:dyDescent="0.25">
      <c r="A22" s="203"/>
      <c r="B22" s="203"/>
      <c r="C22" s="203"/>
      <c r="D22" s="203"/>
      <c r="E22" s="203"/>
    </row>
    <row r="23" spans="1:13" x14ac:dyDescent="0.25">
      <c r="B23" s="644" t="s">
        <v>668</v>
      </c>
      <c r="C23" s="644"/>
      <c r="D23" s="644"/>
      <c r="E23" s="644"/>
    </row>
    <row r="24" spans="1:13" x14ac:dyDescent="0.25">
      <c r="B24" s="644" t="s">
        <v>669</v>
      </c>
      <c r="C24" s="644"/>
      <c r="D24" s="644"/>
      <c r="E24" s="644"/>
    </row>
    <row r="25" spans="1:13" x14ac:dyDescent="0.25">
      <c r="B25" s="644" t="s">
        <v>9</v>
      </c>
      <c r="C25" s="644"/>
      <c r="D25" s="644"/>
      <c r="E25" s="644"/>
    </row>
    <row r="26" spans="1:13" x14ac:dyDescent="0.25">
      <c r="B26" s="644" t="s">
        <v>10</v>
      </c>
      <c r="C26" s="644"/>
      <c r="D26" s="644"/>
      <c r="E26" s="644"/>
    </row>
    <row r="27" spans="1:13" x14ac:dyDescent="0.25">
      <c r="B27" s="644" t="s">
        <v>12</v>
      </c>
      <c r="C27" s="644"/>
      <c r="D27" s="644"/>
      <c r="E27" s="644"/>
    </row>
    <row r="28" spans="1:13" x14ac:dyDescent="0.25">
      <c r="B28" s="644" t="s">
        <v>11</v>
      </c>
      <c r="C28" s="644"/>
      <c r="D28" s="644"/>
      <c r="E28" s="644"/>
    </row>
    <row r="29" spans="1:13" ht="30.75" customHeight="1" x14ac:dyDescent="0.25">
      <c r="B29" s="644" t="s">
        <v>667</v>
      </c>
      <c r="C29" s="644"/>
      <c r="D29" s="644"/>
      <c r="E29" s="644"/>
    </row>
    <row r="30" spans="1:13" x14ac:dyDescent="0.25">
      <c r="B30" s="644" t="s">
        <v>673</v>
      </c>
      <c r="C30" s="644"/>
      <c r="D30" s="644"/>
      <c r="E30" s="644"/>
    </row>
    <row r="31" spans="1:13" ht="29.25" customHeight="1" x14ac:dyDescent="0.25">
      <c r="B31" s="644" t="s">
        <v>14</v>
      </c>
      <c r="C31" s="644"/>
      <c r="D31" s="644"/>
      <c r="E31" s="644"/>
    </row>
  </sheetData>
  <mergeCells count="9">
    <mergeCell ref="B29:E29"/>
    <mergeCell ref="B30:E30"/>
    <mergeCell ref="B31:E31"/>
    <mergeCell ref="B23:E23"/>
    <mergeCell ref="B24:E24"/>
    <mergeCell ref="B25:E25"/>
    <mergeCell ref="B26:E26"/>
    <mergeCell ref="B27:E27"/>
    <mergeCell ref="B28:E28"/>
  </mergeCells>
  <pageMargins left="0.70866141732283472" right="0.70866141732283472" top="0.78740157480314965" bottom="0.78740157480314965" header="0.31496062992125984" footer="0.31496062992125984"/>
  <pageSetup paperSize="9"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
  <sheetViews>
    <sheetView zoomScaleNormal="100" workbookViewId="0">
      <selection activeCell="B23" sqref="B23:E23"/>
    </sheetView>
  </sheetViews>
  <sheetFormatPr baseColWidth="10" defaultRowHeight="15" x14ac:dyDescent="0.25"/>
  <cols>
    <col min="1" max="1" width="11.42578125" customWidth="1"/>
    <col min="2" max="2" width="17.28515625" customWidth="1"/>
    <col min="3" max="3" width="19.85546875" customWidth="1"/>
    <col min="4" max="4" width="16.28515625" customWidth="1"/>
    <col min="5" max="5" width="22.28515625" customWidth="1"/>
  </cols>
  <sheetData>
    <row r="1" spans="1:6" ht="21" x14ac:dyDescent="0.35">
      <c r="A1" s="162" t="s">
        <v>0</v>
      </c>
      <c r="C1" s="614"/>
      <c r="D1" s="617" t="s">
        <v>1269</v>
      </c>
      <c r="E1" s="296">
        <f ca="1">YEAR(D2)</f>
        <v>2023</v>
      </c>
      <c r="F1" s="294" t="s">
        <v>6</v>
      </c>
    </row>
    <row r="2" spans="1:6" x14ac:dyDescent="0.25">
      <c r="D2" s="296">
        <f ca="1">TODAY()</f>
        <v>45262</v>
      </c>
      <c r="E2" s="294" t="s">
        <v>5</v>
      </c>
    </row>
    <row r="3" spans="1:6" x14ac:dyDescent="0.25">
      <c r="A3" s="300" t="s">
        <v>672</v>
      </c>
    </row>
    <row r="5" spans="1:6" ht="36.75" customHeight="1" x14ac:dyDescent="0.25">
      <c r="A5" s="295" t="s">
        <v>1</v>
      </c>
      <c r="B5" s="295" t="s">
        <v>13</v>
      </c>
      <c r="C5" s="295" t="s">
        <v>2</v>
      </c>
      <c r="D5" s="295" t="s">
        <v>15</v>
      </c>
      <c r="E5" s="295" t="s">
        <v>3</v>
      </c>
    </row>
    <row r="6" spans="1:6" x14ac:dyDescent="0.25">
      <c r="A6" s="2">
        <f t="shared" ref="A6:A19" ca="1" si="0">+A7-1</f>
        <v>2007</v>
      </c>
      <c r="B6" s="2">
        <v>12</v>
      </c>
      <c r="C6" s="7">
        <v>66455</v>
      </c>
      <c r="D6" s="7">
        <f>+C6/B6</f>
        <v>5537.916666666667</v>
      </c>
      <c r="E6" s="7">
        <v>5690</v>
      </c>
    </row>
    <row r="7" spans="1:6" x14ac:dyDescent="0.25">
      <c r="A7" s="2">
        <f t="shared" ca="1" si="0"/>
        <v>2008</v>
      </c>
      <c r="B7" s="2">
        <v>11</v>
      </c>
      <c r="C7" s="7">
        <v>60065</v>
      </c>
      <c r="D7" s="7">
        <f t="shared" ref="D7:D21" si="1">+C7/B7</f>
        <v>5460.454545454545</v>
      </c>
      <c r="E7" s="7">
        <v>5800</v>
      </c>
    </row>
    <row r="8" spans="1:6" x14ac:dyDescent="0.25">
      <c r="A8" s="2">
        <f t="shared" ca="1" si="0"/>
        <v>2009</v>
      </c>
      <c r="B8" s="2">
        <v>10</v>
      </c>
      <c r="C8" s="7">
        <v>56652</v>
      </c>
      <c r="D8" s="7">
        <f t="shared" si="1"/>
        <v>5665.2</v>
      </c>
      <c r="E8" s="7">
        <v>5895</v>
      </c>
    </row>
    <row r="9" spans="1:6" x14ac:dyDescent="0.25">
      <c r="A9" s="2">
        <f t="shared" ca="1" si="0"/>
        <v>2010</v>
      </c>
      <c r="B9" s="2">
        <v>10</v>
      </c>
      <c r="C9" s="7">
        <v>58266</v>
      </c>
      <c r="D9" s="7">
        <f t="shared" si="1"/>
        <v>5826.6</v>
      </c>
      <c r="E9" s="7">
        <v>5905</v>
      </c>
    </row>
    <row r="10" spans="1:6" x14ac:dyDescent="0.25">
      <c r="A10" s="2">
        <f t="shared" ca="1" si="0"/>
        <v>2011</v>
      </c>
      <c r="B10" s="2">
        <v>13</v>
      </c>
      <c r="C10" s="7">
        <v>76064</v>
      </c>
      <c r="D10" s="7">
        <f t="shared" si="1"/>
        <v>5851.0769230769229</v>
      </c>
      <c r="E10" s="7">
        <v>5990</v>
      </c>
    </row>
    <row r="11" spans="1:6" x14ac:dyDescent="0.25">
      <c r="A11" s="2">
        <f t="shared" ca="1" si="0"/>
        <v>2012</v>
      </c>
      <c r="B11" s="2">
        <v>13</v>
      </c>
      <c r="C11" s="7">
        <v>77725</v>
      </c>
      <c r="D11" s="7">
        <f t="shared" si="1"/>
        <v>5978.8461538461543</v>
      </c>
      <c r="E11" s="7">
        <v>6280</v>
      </c>
    </row>
    <row r="12" spans="1:6" x14ac:dyDescent="0.25">
      <c r="A12" s="2">
        <f t="shared" ca="1" si="0"/>
        <v>2013</v>
      </c>
      <c r="B12" s="2">
        <v>16</v>
      </c>
      <c r="C12" s="7">
        <v>103221</v>
      </c>
      <c r="D12" s="7">
        <f t="shared" si="1"/>
        <v>6451.3125</v>
      </c>
      <c r="E12" s="7">
        <v>6475</v>
      </c>
    </row>
    <row r="13" spans="1:6" x14ac:dyDescent="0.25">
      <c r="A13" s="2">
        <f t="shared" ca="1" si="0"/>
        <v>2014</v>
      </c>
      <c r="B13" s="2">
        <v>16</v>
      </c>
      <c r="C13" s="7">
        <v>104414</v>
      </c>
      <c r="D13" s="7">
        <f t="shared" si="1"/>
        <v>6525.875</v>
      </c>
      <c r="E13" s="7">
        <v>6555</v>
      </c>
    </row>
    <row r="14" spans="1:6" x14ac:dyDescent="0.25">
      <c r="A14" s="2">
        <f t="shared" ca="1" si="0"/>
        <v>2015</v>
      </c>
      <c r="B14" s="2">
        <v>15</v>
      </c>
      <c r="C14" s="7">
        <v>102901</v>
      </c>
      <c r="D14" s="7">
        <f t="shared" si="1"/>
        <v>6860.0666666666666</v>
      </c>
      <c r="E14" s="7">
        <v>6700</v>
      </c>
    </row>
    <row r="15" spans="1:6" x14ac:dyDescent="0.25">
      <c r="A15" s="2">
        <f t="shared" ca="1" si="0"/>
        <v>2016</v>
      </c>
      <c r="B15" s="2">
        <v>16</v>
      </c>
      <c r="C15" s="7">
        <v>106556</v>
      </c>
      <c r="D15" s="7">
        <f t="shared" si="1"/>
        <v>6659.75</v>
      </c>
      <c r="E15" s="7">
        <v>6720</v>
      </c>
    </row>
    <row r="16" spans="1:6" x14ac:dyDescent="0.25">
      <c r="A16" s="2">
        <f t="shared" ca="1" si="0"/>
        <v>2017</v>
      </c>
      <c r="B16" s="2">
        <v>17</v>
      </c>
      <c r="C16" s="7">
        <v>112444</v>
      </c>
      <c r="D16" s="7">
        <f t="shared" si="1"/>
        <v>6614.3529411764703</v>
      </c>
      <c r="E16" s="7">
        <v>6825</v>
      </c>
    </row>
    <row r="17" spans="1:6" x14ac:dyDescent="0.25">
      <c r="A17" s="2">
        <f t="shared" ca="1" si="0"/>
        <v>2018</v>
      </c>
      <c r="B17" s="2">
        <v>19</v>
      </c>
      <c r="C17" s="7">
        <v>130900</v>
      </c>
      <c r="D17" s="7">
        <f t="shared" si="1"/>
        <v>6889.4736842105267</v>
      </c>
      <c r="E17" s="7">
        <v>6875</v>
      </c>
    </row>
    <row r="18" spans="1:6" x14ac:dyDescent="0.25">
      <c r="A18" s="2">
        <f t="shared" ca="1" si="0"/>
        <v>2019</v>
      </c>
      <c r="B18" s="2">
        <v>21</v>
      </c>
      <c r="C18" s="7">
        <v>156468</v>
      </c>
      <c r="D18" s="7">
        <f t="shared" si="1"/>
        <v>7450.8571428571431</v>
      </c>
      <c r="E18" s="7">
        <v>6880</v>
      </c>
    </row>
    <row r="19" spans="1:6" x14ac:dyDescent="0.25">
      <c r="A19" s="2">
        <f t="shared" ca="1" si="0"/>
        <v>2020</v>
      </c>
      <c r="B19" s="2">
        <v>18</v>
      </c>
      <c r="C19" s="7">
        <v>131636</v>
      </c>
      <c r="D19" s="7">
        <f t="shared" si="1"/>
        <v>7313.1111111111113</v>
      </c>
      <c r="E19" s="7">
        <v>6870</v>
      </c>
    </row>
    <row r="20" spans="1:6" x14ac:dyDescent="0.25">
      <c r="A20" s="2">
        <f ca="1">+A21-1</f>
        <v>2021</v>
      </c>
      <c r="B20" s="2">
        <v>19</v>
      </c>
      <c r="C20" s="7">
        <v>138114</v>
      </c>
      <c r="D20" s="7">
        <f t="shared" si="1"/>
        <v>7269.1578947368425</v>
      </c>
      <c r="E20" s="7">
        <v>6895</v>
      </c>
    </row>
    <row r="21" spans="1:6" x14ac:dyDescent="0.25">
      <c r="A21" s="2">
        <f ca="1">+E1-1</f>
        <v>2022</v>
      </c>
      <c r="B21" s="2">
        <v>19</v>
      </c>
      <c r="C21" s="7">
        <v>136340</v>
      </c>
      <c r="D21" s="7">
        <f t="shared" si="1"/>
        <v>7175.7894736842109</v>
      </c>
      <c r="E21" s="7">
        <v>6915</v>
      </c>
    </row>
    <row r="22" spans="1:6" x14ac:dyDescent="0.25">
      <c r="A22" s="1"/>
      <c r="B22" s="1"/>
      <c r="C22" s="1"/>
      <c r="D22" s="1"/>
      <c r="E22" s="1"/>
    </row>
    <row r="23" spans="1:6" x14ac:dyDescent="0.25">
      <c r="B23" s="644" t="s">
        <v>4</v>
      </c>
      <c r="C23" s="644"/>
      <c r="D23" s="644"/>
      <c r="E23" s="644"/>
      <c r="F23" t="s">
        <v>16</v>
      </c>
    </row>
    <row r="24" spans="1:6" x14ac:dyDescent="0.25">
      <c r="B24" s="644" t="s">
        <v>8</v>
      </c>
      <c r="C24" s="644"/>
      <c r="D24" s="644"/>
      <c r="E24" s="644"/>
      <c r="F24" t="s">
        <v>17</v>
      </c>
    </row>
    <row r="25" spans="1:6" x14ac:dyDescent="0.25">
      <c r="B25" s="644" t="s">
        <v>9</v>
      </c>
      <c r="C25" s="644"/>
      <c r="D25" s="644"/>
      <c r="E25" s="644"/>
      <c r="F25" t="s">
        <v>18</v>
      </c>
    </row>
    <row r="26" spans="1:6" x14ac:dyDescent="0.25">
      <c r="B26" s="644" t="s">
        <v>10</v>
      </c>
      <c r="C26" s="644"/>
      <c r="D26" s="644"/>
      <c r="E26" s="644"/>
      <c r="F26" t="s">
        <v>19</v>
      </c>
    </row>
    <row r="27" spans="1:6" x14ac:dyDescent="0.25">
      <c r="B27" s="644" t="s">
        <v>12</v>
      </c>
      <c r="C27" s="644"/>
      <c r="D27" s="644"/>
      <c r="E27" s="644"/>
    </row>
    <row r="28" spans="1:6" x14ac:dyDescent="0.25">
      <c r="B28" s="644" t="s">
        <v>11</v>
      </c>
      <c r="C28" s="644"/>
      <c r="D28" s="644"/>
      <c r="E28" s="644"/>
    </row>
    <row r="29" spans="1:6" ht="30.75" customHeight="1" x14ac:dyDescent="0.25">
      <c r="B29" s="644" t="s">
        <v>667</v>
      </c>
      <c r="C29" s="644"/>
      <c r="D29" s="644"/>
      <c r="E29" s="644"/>
      <c r="F29" t="s">
        <v>674</v>
      </c>
    </row>
    <row r="30" spans="1:6" x14ac:dyDescent="0.25">
      <c r="B30" s="644" t="s">
        <v>673</v>
      </c>
      <c r="C30" s="644"/>
      <c r="D30" s="644"/>
      <c r="E30" s="644"/>
      <c r="F30" t="s">
        <v>21</v>
      </c>
    </row>
    <row r="31" spans="1:6" ht="29.25" customHeight="1" x14ac:dyDescent="0.25">
      <c r="B31" s="644" t="s">
        <v>14</v>
      </c>
      <c r="C31" s="644"/>
      <c r="D31" s="644"/>
      <c r="E31" s="644"/>
      <c r="F31" t="s">
        <v>20</v>
      </c>
    </row>
  </sheetData>
  <sheetProtection algorithmName="SHA-512" hashValue="alKmYj1kOsu+deq2BCuGUD2U35CbvEwGLzAzdAmi5TyyK1Sa3FXm4vGUp6/6JYvdOBwNj9szM0QZqCPOlQ2hzA==" saltValue="IuXFU0hLYkLSkKl3XzOvMA==" spinCount="100000" sheet="1" objects="1" scenarios="1"/>
  <mergeCells count="9">
    <mergeCell ref="B29:E29"/>
    <mergeCell ref="B30:E30"/>
    <mergeCell ref="B31:E31"/>
    <mergeCell ref="B23:E23"/>
    <mergeCell ref="B24:E24"/>
    <mergeCell ref="B25:E25"/>
    <mergeCell ref="B26:E26"/>
    <mergeCell ref="B27:E27"/>
    <mergeCell ref="B28:E2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63</vt:i4>
      </vt:variant>
      <vt:variant>
        <vt:lpstr>Benannte Bereiche</vt:lpstr>
      </vt:variant>
      <vt:variant>
        <vt:i4>10</vt:i4>
      </vt:variant>
    </vt:vector>
  </HeadingPairs>
  <TitlesOfParts>
    <vt:vector size="73" baseType="lpstr">
      <vt:lpstr>Übersicht</vt:lpstr>
      <vt:lpstr>Bitte lesen</vt:lpstr>
      <vt:lpstr>SUM,MAX,MIN,%</vt:lpstr>
      <vt:lpstr>WENN</vt:lpstr>
      <vt:lpstr>SVERWEIS</vt:lpstr>
      <vt:lpstr>UND_ODER</vt:lpstr>
      <vt:lpstr>Rang</vt:lpstr>
      <vt:lpstr>Aufgabe 1</vt:lpstr>
      <vt:lpstr>Aufgabe 1_Lsg</vt:lpstr>
      <vt:lpstr>Aufgabe 2</vt:lpstr>
      <vt:lpstr>Aufgabe 2_Lsg</vt:lpstr>
      <vt:lpstr>Aufgabe 3</vt:lpstr>
      <vt:lpstr>Aufgabe 3_Lsg</vt:lpstr>
      <vt:lpstr>Aufgabe 4</vt:lpstr>
      <vt:lpstr>Aufgabe 4_Lsg</vt:lpstr>
      <vt:lpstr>Aufgabe 5</vt:lpstr>
      <vt:lpstr>Aufgabe 5_Lsg</vt:lpstr>
      <vt:lpstr>Aufgabe 6</vt:lpstr>
      <vt:lpstr>Aufgabe 6_Lsg</vt:lpstr>
      <vt:lpstr>Aufgabe 7</vt:lpstr>
      <vt:lpstr>Aufgabe 7_Lsg</vt:lpstr>
      <vt:lpstr>Aufgabe  8</vt:lpstr>
      <vt:lpstr>Aufgabe  8_Lsg</vt:lpstr>
      <vt:lpstr>Aufgabe 9</vt:lpstr>
      <vt:lpstr>Aufgabe 9_Lsg</vt:lpstr>
      <vt:lpstr>Aufgabe 10</vt:lpstr>
      <vt:lpstr>Aufgabe 10_Lsg</vt:lpstr>
      <vt:lpstr>Aufgabe 11</vt:lpstr>
      <vt:lpstr>Aufgabe 11_Lsg</vt:lpstr>
      <vt:lpstr>Aufgabe 12</vt:lpstr>
      <vt:lpstr>Aufgabe 12_Lsg</vt:lpstr>
      <vt:lpstr>Aufgabe 13</vt:lpstr>
      <vt:lpstr>Aufgabe 13_Lsg</vt:lpstr>
      <vt:lpstr>Aufgabe 14</vt:lpstr>
      <vt:lpstr>Aufgabe 14_Lsg</vt:lpstr>
      <vt:lpstr>Aufgabe 15</vt:lpstr>
      <vt:lpstr>Aufgabe 15_Lsg</vt:lpstr>
      <vt:lpstr>Aufgabe 16</vt:lpstr>
      <vt:lpstr>Aufgabe 16_Lsg</vt:lpstr>
      <vt:lpstr>Aufgabe 17</vt:lpstr>
      <vt:lpstr>Aufgabe 17_Lsg</vt:lpstr>
      <vt:lpstr>Aufgabe 18</vt:lpstr>
      <vt:lpstr>Aufgabe 18_Lsg</vt:lpstr>
      <vt:lpstr>Aufgabe 19</vt:lpstr>
      <vt:lpstr>Aufgabe 19_Lsg</vt:lpstr>
      <vt:lpstr>Aufgabe 20</vt:lpstr>
      <vt:lpstr>Aufgabe 20_Lsg</vt:lpstr>
      <vt:lpstr>Aufgabe 21</vt:lpstr>
      <vt:lpstr>Aufgabe 21_Lsg</vt:lpstr>
      <vt:lpstr>Aufgabe 22</vt:lpstr>
      <vt:lpstr>Aufgabe 22_Lsg</vt:lpstr>
      <vt:lpstr>Aufgabe 23</vt:lpstr>
      <vt:lpstr>Aufgabe 23_Lsg</vt:lpstr>
      <vt:lpstr>Aufgabe 24</vt:lpstr>
      <vt:lpstr>Aufgabe 24_Lsg</vt:lpstr>
      <vt:lpstr>Aufgabe 25</vt:lpstr>
      <vt:lpstr>Aufgabe 25_Lsg</vt:lpstr>
      <vt:lpstr>Aufgabe 26</vt:lpstr>
      <vt:lpstr>Aufgabe 26_Lsg</vt:lpstr>
      <vt:lpstr>Aufgabe 27</vt:lpstr>
      <vt:lpstr>Aufgabe 27_Lsg</vt:lpstr>
      <vt:lpstr>Aufgabe 28</vt:lpstr>
      <vt:lpstr>Aufgabe 28_Lsg</vt:lpstr>
      <vt:lpstr>'Aufgabe 1_Lsg'!Druckbereich</vt:lpstr>
      <vt:lpstr>'Aufgabe 11_Lsg'!Druckbereich</vt:lpstr>
      <vt:lpstr>'Aufgabe 12'!Druckbereich</vt:lpstr>
      <vt:lpstr>'Aufgabe 12_Lsg'!Druckbereich</vt:lpstr>
      <vt:lpstr>'Aufgabe 16_Lsg'!Druckbereich</vt:lpstr>
      <vt:lpstr>'Aufgabe 17'!Druckbereich</vt:lpstr>
      <vt:lpstr>'Aufgabe 17_Lsg'!Druckbereich</vt:lpstr>
      <vt:lpstr>'Aufgabe 26'!Druckbereich</vt:lpstr>
      <vt:lpstr>'Aufgabe 4'!Druckbereich</vt:lpstr>
      <vt:lpstr>'Aufgabe 4_Lsg'!Druckbereich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Jürgen Reiland-Zech</dc:creator>
  <cp:lastModifiedBy>Jürgen Reiland-Zech</cp:lastModifiedBy>
  <cp:lastPrinted>2018-09-05T06:30:04Z</cp:lastPrinted>
  <dcterms:created xsi:type="dcterms:W3CDTF">2018-03-26T20:13:47Z</dcterms:created>
  <dcterms:modified xsi:type="dcterms:W3CDTF">2023-12-02T12:49:56Z</dcterms:modified>
</cp:coreProperties>
</file>